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700" windowHeight="6555" tabRatio="892" activeTab="0"/>
  </bookViews>
  <sheets>
    <sheet name="Дотация на выравнивание" sheetId="1" r:id="rId1"/>
  </sheets>
  <externalReferences>
    <externalReference r:id="rId4"/>
  </externalReferences>
  <definedNames>
    <definedName name="_xlnm.Print_Area" localSheetId="0">'Дотация на выравнивание'!$A$1:$T$27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<sst xmlns="http://schemas.openxmlformats.org/spreadsheetml/2006/main" count="48" uniqueCount="46">
  <si>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ИТОГО </t>
  </si>
  <si>
    <t>ОБЛАСТНОЙ</t>
  </si>
  <si>
    <r>
      <t xml:space="preserve">ВСЕГО </t>
    </r>
    <r>
      <rPr>
        <b/>
        <sz val="10"/>
        <rFont val="Times New Roman CYR"/>
        <family val="1"/>
      </rPr>
      <t>ОБЛАСТЬ</t>
    </r>
  </si>
  <si>
    <t>2003 год</t>
  </si>
  <si>
    <t>отклонение</t>
  </si>
  <si>
    <t>норматив отчислений</t>
  </si>
  <si>
    <t>Индекс налогового потенциала</t>
  </si>
  <si>
    <t>Индекс бюджетных расходов</t>
  </si>
  <si>
    <t>Бюджетная обеспеченность</t>
  </si>
  <si>
    <t>Потребность в средствах для доведения до критерия выравнивания</t>
  </si>
  <si>
    <t xml:space="preserve">Критерий выравнивания бюджетной обеспеченности </t>
  </si>
  <si>
    <t>ОТЧИСЛЕНИЯ НАЛОГА НА ДОХОДЫ ФИЗИЧЕСКИХ ЛИЦ</t>
  </si>
  <si>
    <t xml:space="preserve">НАИМЕНОВАНИЕ  ПОКАЗАТЕЛЕЙ            </t>
  </si>
  <si>
    <t>ОТЧИСЛЕНИЯ ЕДИНОГО СЕЛЬСКОХОЗЯЙСТВЕННОГО НАЛОГА</t>
  </si>
  <si>
    <r>
      <t>ГОСПОШЛИНА</t>
    </r>
    <r>
      <rPr>
        <sz val="10"/>
        <rFont val="Arial Cyr"/>
        <family val="2"/>
      </rPr>
      <t xml:space="preserve"> (потенциал МО 100%)</t>
    </r>
  </si>
  <si>
    <t>Распределение дотаций на выравнивание бюджетной обеспеченности поселений</t>
  </si>
  <si>
    <t>Распределение дотаций из областного фонда финансовой поддержки поселений (1 часть дотации на выравнивание)</t>
  </si>
  <si>
    <t>Распределение 2 части дотации на выравнивание бюджетной обеспеченности поселений</t>
  </si>
  <si>
    <t>х</t>
  </si>
  <si>
    <t xml:space="preserve">ИТОГО НАЛОГОВЫХ ДОХОДОВ </t>
  </si>
  <si>
    <t>Справочно: бюджетная обеспеченность после выравнивания</t>
  </si>
  <si>
    <t>Всего дотаций на выравнивание</t>
  </si>
  <si>
    <t xml:space="preserve"> АКЦИЗЫ НА НЕФТЕПРОДУКТЫ (по дифференцированным нормативам)</t>
  </si>
  <si>
    <t>Численность населения на 01.01.2013г. чел.</t>
  </si>
  <si>
    <t>ЗЕМЕЛЬНЫЙ НАЛОГ</t>
  </si>
  <si>
    <t>ЕДИНЫЙ  СЕЛЬХОЗНАЛОГ (ЕСХН) - контингент</t>
  </si>
  <si>
    <t xml:space="preserve"> НАЛОГ на ДОХОДЫ ФИЗИЧЕСКИХ ЛИЦ (НДФЛ)- контингент</t>
  </si>
  <si>
    <t>НАЛОГ НА ИМУЩЕСТВО ФИЗИЧЕСКИХ ЛИЦ (НИФЛ)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</si>
  <si>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</si>
  <si>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</si>
  <si>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</si>
  <si>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</si>
  <si>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</si>
  <si>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</si>
  <si>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</si>
  <si>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</si>
  <si>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</si>
  <si>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</si>
  <si>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</si>
  <si>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</si>
  <si>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</si>
  <si>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</si>
  <si>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Среднедушевые налоговые доходы, руб./чел.</t>
  </si>
  <si>
    <t>Приложение №2 к пояснительной записке</t>
  </si>
  <si>
    <t>решения Собрания депутатов МО "Мезенский муниципальный район" от 18.12.2013 №17</t>
  </si>
  <si>
    <r>
      <t xml:space="preserve">РАСПРЕДЕЛЕНИЕ ДОТАЦИЙ НА ВЫРАВНИВАНИЕ БЮДЖЕТНОЙ ОБЕСПЕЧЕННОСТИ ПОСЕЛЕНИЙ НА </t>
    </r>
    <r>
      <rPr>
        <b/>
        <sz val="14"/>
        <rFont val="Arial Cyr"/>
        <family val="2"/>
      </rPr>
      <t>2014 год</t>
    </r>
    <r>
      <rPr>
        <b/>
        <sz val="12"/>
        <rFont val="Arial Cyr"/>
        <family val="2"/>
      </rPr>
      <t xml:space="preserve"> , рублей  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</si>
</sst>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#,##0.00_ ;[Red]\-#,##0.00\ "/>
    <numFmt numFmtId="172" formatCode="0.0_ ;[Red]\-0.0\ "/>
    <numFmt numFmtId="173" formatCode="#,##0_ ;[Red]\-#,##0\ "/>
    <numFmt numFmtId="174" formatCode="#,##0.000_ ;[Red]\-#,##0.000\ "/>
    <numFmt numFmtId="175" formatCode="_-* #,##0.000_р_._-;\-* #,##0.000_р_._-;_-* &quot;-&quot;???_р_._-;_-@_-"/>
    <numFmt numFmtId="176" formatCode="mmmm/yyyy\ &quot;года&quot;"/>
    <numFmt numFmtId="177" formatCode="_-* #,##0.00_р_._-;\-* #,##0.00_р_._-;_-* &quot;-&quot;???_р_._-;_-@_-"/>
    <numFmt numFmtId="178" formatCode="_-* #,##0.0_р_._-;\-* #,##0.0_р_._-;_-* &quot;-&quot;???_р_._-;_-@_-"/>
    <numFmt numFmtId="179" formatCode="_-* #,##0_р_._-;\-* #,##0_р_._-;_-* &quot;-&quot;???_р_._-;_-@_-"/>
    <numFmt numFmtId="180" formatCode="_-* #,##0.0000_р_._-;\-* #,##0.0000_р_._-;_-* &quot;-&quot;???_р_._-;_-@_-"/>
    <numFmt numFmtId="181" formatCode="_-* #,##0.00000_р_._-;\-* #,##0.00000_р_._-;_-* &quot;-&quot;???_р_._-;_-@_-"/>
    <numFmt numFmtId="182" formatCode="_-* #,##0.0_р_._-;\-* #,##0.0_р_._-;_-* &quot;-&quot;?_р_._-;_-@_-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00000"/>
    <numFmt numFmtId="188" formatCode="0.00_ ;[Red]\-0.00\ "/>
    <numFmt numFmtId="189" formatCode="0_ ;[Red]\-0\ "/>
    <numFmt numFmtId="190" formatCode="#,##0_р_."/>
    <numFmt numFmtId="191" formatCode="_-* #,##0.0_р_._-;\-* #,##0.0_р_._-;_-* &quot;-&quot;??_р_._-;_-@_-"/>
    <numFmt numFmtId="192" formatCode="_-* #,##0_р_._-;\-* #,##0_р_._-;_-* &quot;-&quot;??_р_._-;_-@_-"/>
    <numFmt numFmtId="193" formatCode="#,##0.0"/>
    <numFmt numFmtId="194" formatCode="_(* #,##0_);_(* \(#,##0\);_(* &quot;-&quot;??_);_(@_)"/>
    <numFmt numFmtId="195" formatCode="#,##0.000"/>
    <numFmt numFmtId="196" formatCode="_-* #,##0.000_р_._-;\-* #,##0.000_р_._-;_-* &quot;-&quot;??_р_._-;_-@_-"/>
    <numFmt numFmtId="197" formatCode="_(* #,##0.00_);_(* \(#,##0.00\);_(* &quot;-&quot;??_);_(@_)"/>
    <numFmt numFmtId="198" formatCode="_-* #,##0.0000_р_._-;\-* #,##0.0000_р_._-;_-* &quot;-&quot;??_р_._-;_-@_-"/>
    <numFmt numFmtId="199" formatCode="0.0000000"/>
    <numFmt numFmtId="200" formatCode="_-* #,##0.00_р_._-;\-* #,##0.00_р_._-;_-* &quot;-&quot;?_р_._-;_-@_-"/>
    <numFmt numFmtId="201" formatCode="_-* #,##0.0000_р_._-;\-* #,##0.0000_р_._-;_-* &quot;-&quot;?_р_._-;_-@_-"/>
    <numFmt numFmtId="202" formatCode="0.000000000"/>
    <numFmt numFmtId="203" formatCode="0.0000000000"/>
    <numFmt numFmtId="204" formatCode="0.00000000"/>
    <numFmt numFmtId="205" formatCode="_-* #,##0.00000_р_._-;\-* #,##0.00000_р_._-;_-* &quot;-&quot;??_р_._-;_-@_-"/>
    <numFmt numFmtId="206" formatCode="0.0000%"/>
    <numFmt numFmtId="207" formatCode="_-* #,##0_р_._-;\-* #,##0_р_._-;_-* &quot;-&quot;?_р_._-;_-@_-"/>
    <numFmt numFmtId="208" formatCode="0.000%"/>
    <numFmt numFmtId="209" formatCode="[$€-2]\ ###,000_);[Red]\([$€-2]\ ###,000\)"/>
    <numFmt numFmtId="210" formatCode="#,##0.0000"/>
    <numFmt numFmtId="211" formatCode="#,##0.0_ ;\-#,##0.0\ "/>
    <numFmt numFmtId="212" formatCode="_(* #,##0.0_);_(* \(#,##0.0\);_(* &quot;-&quot;??_);_(@_)"/>
    <numFmt numFmtId="213" formatCode="#,##0.00_ ;\-#,##0.00\ "/>
    <numFmt numFmtId="214" formatCode="#,##0.000_ ;\-#,##0.000\ 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7"/>
      <color indexed="8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9"/>
      <name val="Arial Cyr"/>
      <family val="2"/>
    </font>
    <font>
      <sz val="11"/>
      <name val="Arial Cyr"/>
      <family val="2"/>
    </font>
    <font>
      <b/>
      <u val="single"/>
      <sz val="11"/>
      <name val="Arial Cyr"/>
      <family val="2"/>
    </font>
    <font>
      <sz val="9"/>
      <name val="Arial Cyr"/>
      <family val="0"/>
    </font>
    <font>
      <b/>
      <sz val="10"/>
      <color indexed="12"/>
      <name val="Arial Cyr"/>
      <family val="2"/>
    </font>
    <font>
      <b/>
      <sz val="11"/>
      <name val="Arial Cyr"/>
      <family val="2"/>
    </font>
    <font>
      <b/>
      <u val="single"/>
      <sz val="10"/>
      <color indexed="12"/>
      <name val="Arial Cyr"/>
      <family val="2"/>
    </font>
    <font>
      <b/>
      <sz val="9"/>
      <color indexed="17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9"/>
      <color indexed="12"/>
      <name val="Arial Cyr"/>
      <family val="2"/>
    </font>
    <font>
      <b/>
      <sz val="9"/>
      <color indexed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Border="1" applyAlignment="1" applyProtection="1">
      <alignment horizontal="center" vertical="center" wrapText="1"/>
      <protection locked="0"/>
    </xf>
    <xf numFmtId="1" fontId="12" fillId="0" borderId="13" xfId="0" applyNumberFormat="1" applyFon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15" xfId="0" applyNumberFormat="1" applyFont="1" applyFill="1" applyBorder="1" applyAlignment="1" applyProtection="1">
      <alignment vertical="center"/>
      <protection/>
    </xf>
    <xf numFmtId="3" fontId="18" fillId="0" borderId="16" xfId="0" applyNumberFormat="1" applyFont="1" applyBorder="1" applyAlignment="1" applyProtection="1">
      <alignment vertical="center"/>
      <protection/>
    </xf>
    <xf numFmtId="3" fontId="18" fillId="0" borderId="15" xfId="0" applyNumberFormat="1" applyFont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18" xfId="57" applyFont="1" applyFill="1" applyBorder="1" applyAlignment="1" applyProtection="1">
      <alignment horizontal="center" vertical="center" wrapText="1"/>
      <protection locked="0"/>
    </xf>
    <xf numFmtId="9" fontId="19" fillId="33" borderId="19" xfId="57" applyFont="1" applyFill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vertical="center"/>
      <protection/>
    </xf>
    <xf numFmtId="3" fontId="18" fillId="0" borderId="21" xfId="0" applyNumberFormat="1" applyFont="1" applyBorder="1" applyAlignment="1" applyProtection="1">
      <alignment vertical="center"/>
      <protection/>
    </xf>
    <xf numFmtId="3" fontId="15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23" xfId="0" applyNumberFormat="1" applyFont="1" applyFill="1" applyBorder="1" applyAlignment="1" applyProtection="1">
      <alignment vertical="center"/>
      <protection/>
    </xf>
    <xf numFmtId="3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25" xfId="0" applyNumberFormat="1" applyFont="1" applyFill="1" applyBorder="1" applyAlignment="1" applyProtection="1">
      <alignment vertical="center"/>
      <protection/>
    </xf>
    <xf numFmtId="3" fontId="20" fillId="0" borderId="26" xfId="0" applyNumberFormat="1" applyFont="1" applyBorder="1" applyAlignment="1" applyProtection="1">
      <alignment vertical="center"/>
      <protection/>
    </xf>
    <xf numFmtId="3" fontId="20" fillId="0" borderId="19" xfId="0" applyNumberFormat="1" applyFont="1" applyBorder="1" applyAlignment="1" applyProtection="1">
      <alignment vertical="center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27" xfId="57" applyFont="1" applyFill="1" applyBorder="1" applyAlignment="1" applyProtection="1">
      <alignment horizontal="center" vertical="center" wrapText="1"/>
      <protection locked="0"/>
    </xf>
    <xf numFmtId="3" fontId="18" fillId="0" borderId="26" xfId="0" applyNumberFormat="1" applyFont="1" applyBorder="1" applyAlignment="1" applyProtection="1">
      <alignment vertical="center"/>
      <protection/>
    </xf>
    <xf numFmtId="3" fontId="18" fillId="0" borderId="19" xfId="0" applyNumberFormat="1" applyFont="1" applyBorder="1" applyAlignment="1" applyProtection="1">
      <alignment vertical="center"/>
      <protection/>
    </xf>
    <xf numFmtId="1" fontId="1" fillId="33" borderId="27" xfId="0" applyNumberFormat="1" applyFont="1" applyFill="1" applyBorder="1" applyAlignment="1" applyProtection="1">
      <alignment horizontal="left" vertical="center" wrapText="1"/>
      <protection locked="0"/>
    </xf>
    <xf numFmtId="3" fontId="19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19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7" xfId="0" applyNumberFormat="1" applyFont="1" applyFill="1" applyBorder="1" applyAlignment="1" applyProtection="1">
      <alignment horizontal="right" vertical="center" wrapText="1"/>
      <protection locked="0"/>
    </xf>
    <xf numFmtId="1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0" xfId="57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1" fontId="25" fillId="0" borderId="0" xfId="0" applyNumberFormat="1" applyFont="1" applyBorder="1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vertical="center"/>
      <protection/>
    </xf>
    <xf numFmtId="1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28" xfId="57" applyNumberFormat="1" applyFont="1" applyFill="1" applyBorder="1" applyAlignment="1" applyProtection="1">
      <alignment horizontal="right" vertical="center"/>
      <protection/>
    </xf>
    <xf numFmtId="3" fontId="23" fillId="0" borderId="27" xfId="57" applyNumberFormat="1" applyFont="1" applyFill="1" applyBorder="1" applyAlignment="1" applyProtection="1">
      <alignment horizontal="right" vertical="center"/>
      <protection/>
    </xf>
    <xf numFmtId="195" fontId="14" fillId="0" borderId="28" xfId="57" applyNumberFormat="1" applyFont="1" applyFill="1" applyBorder="1" applyAlignment="1" applyProtection="1">
      <alignment horizontal="right" vertical="center"/>
      <protection/>
    </xf>
    <xf numFmtId="195" fontId="14" fillId="0" borderId="27" xfId="57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 wrapText="1"/>
    </xf>
    <xf numFmtId="10" fontId="1" fillId="0" borderId="27" xfId="57" applyNumberFormat="1" applyFont="1" applyFill="1" applyBorder="1" applyAlignment="1">
      <alignment horizontal="center" vertical="center"/>
    </xf>
    <xf numFmtId="10" fontId="19" fillId="0" borderId="25" xfId="5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92" fontId="0" fillId="0" borderId="0" xfId="60" applyNumberFormat="1" applyFont="1" applyFill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19" fillId="35" borderId="27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9" fontId="19" fillId="0" borderId="25" xfId="57" applyFont="1" applyFill="1" applyBorder="1" applyAlignment="1" applyProtection="1">
      <alignment horizontal="center" vertical="center" wrapText="1"/>
      <protection locked="0"/>
    </xf>
    <xf numFmtId="3" fontId="18" fillId="0" borderId="29" xfId="0" applyNumberFormat="1" applyFont="1" applyBorder="1" applyAlignment="1" applyProtection="1">
      <alignment vertical="center"/>
      <protection/>
    </xf>
    <xf numFmtId="3" fontId="20" fillId="0" borderId="30" xfId="0" applyNumberFormat="1" applyFont="1" applyBorder="1" applyAlignment="1" applyProtection="1">
      <alignment vertical="center"/>
      <protection/>
    </xf>
    <xf numFmtId="1" fontId="13" fillId="0" borderId="31" xfId="0" applyNumberFormat="1" applyFont="1" applyBorder="1" applyAlignment="1" applyProtection="1">
      <alignment horizontal="center" vertical="center"/>
      <protection locked="0"/>
    </xf>
    <xf numFmtId="1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right" vertical="center" wrapText="1"/>
    </xf>
    <xf numFmtId="168" fontId="1" fillId="0" borderId="27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96" fontId="27" fillId="35" borderId="25" xfId="60" applyNumberFormat="1" applyFont="1" applyFill="1" applyBorder="1" applyAlignment="1">
      <alignment vertical="center"/>
    </xf>
    <xf numFmtId="0" fontId="19" fillId="35" borderId="0" xfId="0" applyFont="1" applyFill="1" applyBorder="1" applyAlignment="1">
      <alignment horizontal="left" vertical="center" wrapText="1"/>
    </xf>
    <xf numFmtId="179" fontId="19" fillId="35" borderId="0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 wrapText="1"/>
    </xf>
    <xf numFmtId="3" fontId="28" fillId="34" borderId="33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34" xfId="0" applyNumberFormat="1" applyFont="1" applyFill="1" applyBorder="1" applyAlignment="1" applyProtection="1">
      <alignment horizontal="left" vertical="center" wrapText="1"/>
      <protection locked="0"/>
    </xf>
    <xf numFmtId="3" fontId="28" fillId="34" borderId="27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35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36" xfId="0" applyNumberFormat="1" applyFont="1" applyFill="1" applyBorder="1" applyAlignment="1" applyProtection="1">
      <alignment vertical="center"/>
      <protection/>
    </xf>
    <xf numFmtId="9" fontId="19" fillId="0" borderId="37" xfId="57" applyFont="1" applyFill="1" applyBorder="1" applyAlignment="1" applyProtection="1">
      <alignment horizontal="center" vertical="center" wrapText="1"/>
      <protection locked="0"/>
    </xf>
    <xf numFmtId="1" fontId="10" fillId="0" borderId="32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38" xfId="57" applyFont="1" applyFill="1" applyBorder="1" applyAlignment="1" applyProtection="1">
      <alignment horizontal="center" vertical="center" wrapText="1"/>
      <protection locked="0"/>
    </xf>
    <xf numFmtId="3" fontId="28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28" fillId="34" borderId="39" xfId="0" applyNumberFormat="1" applyFont="1" applyFill="1" applyBorder="1" applyAlignment="1" applyProtection="1">
      <alignment horizontal="right" vertical="center" wrapText="1"/>
      <protection locked="0"/>
    </xf>
    <xf numFmtId="3" fontId="28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27" xfId="57" applyNumberFormat="1" applyFont="1" applyFill="1" applyBorder="1" applyAlignment="1" applyProtection="1">
      <alignment horizontal="right" vertical="center"/>
      <protection/>
    </xf>
    <xf numFmtId="195" fontId="28" fillId="0" borderId="27" xfId="57" applyNumberFormat="1" applyFont="1" applyFill="1" applyBorder="1" applyAlignment="1" applyProtection="1">
      <alignment horizontal="right" vertical="center"/>
      <protection/>
    </xf>
    <xf numFmtId="168" fontId="2" fillId="0" borderId="27" xfId="0" applyNumberFormat="1" applyFont="1" applyFill="1" applyBorder="1" applyAlignment="1">
      <alignment horizontal="right" vertical="center"/>
    </xf>
    <xf numFmtId="168" fontId="28" fillId="0" borderId="27" xfId="0" applyNumberFormat="1" applyFont="1" applyBorder="1" applyAlignment="1">
      <alignment horizontal="right"/>
    </xf>
    <xf numFmtId="3" fontId="28" fillId="35" borderId="27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25" xfId="57" applyNumberFormat="1" applyFont="1" applyFill="1" applyBorder="1" applyAlignment="1" applyProtection="1">
      <alignment horizontal="right" vertical="center"/>
      <protection/>
    </xf>
    <xf numFmtId="195" fontId="28" fillId="0" borderId="25" xfId="57" applyNumberFormat="1" applyFont="1" applyFill="1" applyBorder="1" applyAlignment="1" applyProtection="1">
      <alignment horizontal="right" vertical="center"/>
      <protection/>
    </xf>
    <xf numFmtId="168" fontId="2" fillId="0" borderId="25" xfId="0" applyNumberFormat="1" applyFont="1" applyFill="1" applyBorder="1" applyAlignment="1">
      <alignment horizontal="right" vertical="center"/>
    </xf>
    <xf numFmtId="1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4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1" fontId="0" fillId="0" borderId="35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76;&#1078;&#1077;&#1090;&#1099;%20&#1087;&#1086;&#1089;&#1077;&#1083;&#1077;&#1085;&#1080;&#1081;%202014\&#1057;&#1042;&#1054;&#1044;%20&#1073;&#1102;&#1076;&#1078;&#1077;&#1090;&#1086;&#1074;%202014\&#1054;&#1041;&#1051;&#1040;&#1057;&#1058;&#1053;&#1054;&#1049;%20&#1056;&#1040;&#1057;&#1063;&#1045;&#1058;\&#1048;&#1041;&#1056;-2014%20&#1086;&#1073;&#1083;&#1072;&#1089;&#1090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сп.оценки"/>
      <sheetName val="ИБР-2014"/>
    </sheetNames>
    <sheetDataSet>
      <sheetData sheetId="1">
        <row r="9">
          <cell r="U9">
            <v>1.0201291568944733</v>
          </cell>
        </row>
        <row r="10">
          <cell r="U10">
            <v>1.0116085755931676</v>
          </cell>
        </row>
        <row r="11">
          <cell r="U11">
            <v>1.0104493663501088</v>
          </cell>
        </row>
        <row r="12">
          <cell r="U12">
            <v>0.9782478521147832</v>
          </cell>
        </row>
        <row r="13">
          <cell r="U13">
            <v>0.9666753431016245</v>
          </cell>
        </row>
        <row r="14">
          <cell r="U14">
            <v>0.966977780467353</v>
          </cell>
        </row>
        <row r="15">
          <cell r="U15">
            <v>0.9992874648124287</v>
          </cell>
        </row>
        <row r="16">
          <cell r="U16">
            <v>0.9808612903508629</v>
          </cell>
        </row>
        <row r="17">
          <cell r="U17">
            <v>0.9973653950103073</v>
          </cell>
        </row>
        <row r="18">
          <cell r="U18">
            <v>0.9656290073766444</v>
          </cell>
        </row>
        <row r="19">
          <cell r="U19">
            <v>0.9627713452750023</v>
          </cell>
        </row>
        <row r="20">
          <cell r="U20">
            <v>0.9461879200861882</v>
          </cell>
        </row>
        <row r="21">
          <cell r="U21">
            <v>0.9539623825492314</v>
          </cell>
        </row>
        <row r="22">
          <cell r="U22">
            <v>0.9654486571462296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D1">
      <selection activeCell="N1" sqref="N1"/>
    </sheetView>
  </sheetViews>
  <sheetFormatPr defaultColWidth="9.00390625" defaultRowHeight="12.75"/>
  <cols>
    <col min="1" max="1" width="38.25390625" style="0" customWidth="1"/>
    <col min="2" max="2" width="14.75390625" style="0" bestFit="1" customWidth="1"/>
    <col min="3" max="3" width="15.125" style="0" bestFit="1" customWidth="1"/>
    <col min="4" max="5" width="13.25390625" style="0" bestFit="1" customWidth="1"/>
    <col min="6" max="6" width="17.25390625" style="0" bestFit="1" customWidth="1"/>
    <col min="7" max="7" width="13.25390625" style="0" bestFit="1" customWidth="1"/>
    <col min="8" max="9" width="13.375" style="0" bestFit="1" customWidth="1"/>
    <col min="10" max="10" width="12.875" style="0" bestFit="1" customWidth="1"/>
    <col min="11" max="11" width="13.375" style="0" bestFit="1" customWidth="1"/>
    <col min="12" max="14" width="14.75390625" style="0" bestFit="1" customWidth="1"/>
    <col min="15" max="15" width="13.125" style="0" customWidth="1"/>
    <col min="16" max="16" width="17.125" style="0" customWidth="1"/>
    <col min="17" max="17" width="11.75390625" style="0" hidden="1" customWidth="1"/>
    <col min="18" max="20" width="11.25390625" style="0" hidden="1" customWidth="1"/>
    <col min="21" max="21" width="2.00390625" style="0" customWidth="1"/>
    <col min="22" max="22" width="12.125" style="0" customWidth="1"/>
    <col min="23" max="23" width="8.375" style="0" customWidth="1"/>
  </cols>
  <sheetData>
    <row r="1" ht="18" customHeight="1">
      <c r="N1" t="s">
        <v>43</v>
      </c>
    </row>
    <row r="2" spans="1:23" ht="33.75" customHeight="1" thickBot="1">
      <c r="A2" s="2" t="s">
        <v>45</v>
      </c>
      <c r="B2" s="3"/>
      <c r="C2" s="4"/>
      <c r="D2" s="3"/>
      <c r="E2" s="3"/>
      <c r="F2" s="3"/>
      <c r="G2" s="4"/>
      <c r="H2" s="3"/>
      <c r="I2" s="3"/>
      <c r="J2" s="3"/>
      <c r="K2" s="3"/>
      <c r="L2" s="3"/>
      <c r="M2" s="3"/>
      <c r="N2" s="100" t="s">
        <v>44</v>
      </c>
      <c r="O2" s="100"/>
      <c r="P2" s="100"/>
      <c r="Q2" s="5"/>
      <c r="R2" s="6"/>
      <c r="S2" s="6"/>
      <c r="T2" s="6"/>
      <c r="U2" s="6"/>
      <c r="V2" s="6"/>
      <c r="W2" s="6"/>
    </row>
    <row r="3" spans="1:27" ht="33.75" customHeight="1" thickBot="1">
      <c r="A3" s="66" t="s">
        <v>12</v>
      </c>
      <c r="B3" s="80" t="s">
        <v>28</v>
      </c>
      <c r="C3" s="80" t="s">
        <v>29</v>
      </c>
      <c r="D3" s="80" t="s">
        <v>30</v>
      </c>
      <c r="E3" s="80" t="s">
        <v>31</v>
      </c>
      <c r="F3" s="80" t="s">
        <v>32</v>
      </c>
      <c r="G3" s="80" t="s">
        <v>33</v>
      </c>
      <c r="H3" s="80" t="s">
        <v>34</v>
      </c>
      <c r="I3" s="80" t="s">
        <v>35</v>
      </c>
      <c r="J3" s="80" t="s">
        <v>36</v>
      </c>
      <c r="K3" s="80" t="s">
        <v>37</v>
      </c>
      <c r="L3" s="80" t="s">
        <v>38</v>
      </c>
      <c r="M3" s="80" t="s">
        <v>39</v>
      </c>
      <c r="N3" s="80" t="s">
        <v>40</v>
      </c>
      <c r="O3" s="80" t="s">
        <v>41</v>
      </c>
      <c r="P3" s="81" t="s">
        <v>0</v>
      </c>
      <c r="Q3" s="7" t="s">
        <v>1</v>
      </c>
      <c r="R3" s="8" t="s">
        <v>2</v>
      </c>
      <c r="S3" s="9" t="s">
        <v>3</v>
      </c>
      <c r="T3" s="10" t="s">
        <v>4</v>
      </c>
      <c r="U3" s="11"/>
      <c r="V3" s="11"/>
      <c r="W3" s="11"/>
      <c r="X3" s="12"/>
      <c r="Y3" s="12"/>
      <c r="Z3" s="12"/>
      <c r="AA3" s="12"/>
    </row>
    <row r="4" spans="1:27" ht="25.5">
      <c r="A4" s="96" t="s">
        <v>26</v>
      </c>
      <c r="B4" s="74">
        <v>95000000</v>
      </c>
      <c r="C4" s="74">
        <v>13000000</v>
      </c>
      <c r="D4" s="74">
        <v>3800000</v>
      </c>
      <c r="E4" s="74">
        <v>1440000</v>
      </c>
      <c r="F4" s="74">
        <v>2200000</v>
      </c>
      <c r="G4" s="74">
        <v>1200000</v>
      </c>
      <c r="H4" s="74">
        <v>2400000</v>
      </c>
      <c r="I4" s="74">
        <v>1680000</v>
      </c>
      <c r="J4" s="74">
        <v>667800</v>
      </c>
      <c r="K4" s="74">
        <v>2000000</v>
      </c>
      <c r="L4" s="74">
        <v>64744400</v>
      </c>
      <c r="M4" s="74">
        <v>13800000</v>
      </c>
      <c r="N4" s="74">
        <v>13500000</v>
      </c>
      <c r="O4" s="74">
        <v>3020000</v>
      </c>
      <c r="P4" s="74">
        <f>SUM(B4:O4)</f>
        <v>218452200</v>
      </c>
      <c r="Q4" s="13">
        <v>0</v>
      </c>
      <c r="R4" s="14">
        <f>P4+Q4</f>
        <v>218452200</v>
      </c>
      <c r="S4" s="15">
        <v>3731680</v>
      </c>
      <c r="T4" s="16">
        <f>R4-S4</f>
        <v>214720520</v>
      </c>
      <c r="U4" s="11"/>
      <c r="V4" s="11"/>
      <c r="W4" s="11"/>
      <c r="X4" s="12"/>
      <c r="Y4" s="12"/>
      <c r="Z4" s="12"/>
      <c r="AA4" s="12"/>
    </row>
    <row r="5" spans="1:27" ht="15">
      <c r="A5" s="17" t="s">
        <v>5</v>
      </c>
      <c r="B5" s="79">
        <v>0.1</v>
      </c>
      <c r="C5" s="79">
        <v>0.1</v>
      </c>
      <c r="D5" s="79">
        <v>0.1</v>
      </c>
      <c r="E5" s="79">
        <v>0.1</v>
      </c>
      <c r="F5" s="79">
        <v>0.1</v>
      </c>
      <c r="G5" s="79">
        <v>0.1</v>
      </c>
      <c r="H5" s="79">
        <v>0.1</v>
      </c>
      <c r="I5" s="79">
        <v>0.1</v>
      </c>
      <c r="J5" s="79">
        <v>0.1</v>
      </c>
      <c r="K5" s="79">
        <v>0.1</v>
      </c>
      <c r="L5" s="79">
        <v>0.1</v>
      </c>
      <c r="M5" s="79">
        <v>0.1</v>
      </c>
      <c r="N5" s="79">
        <v>0.1</v>
      </c>
      <c r="O5" s="79">
        <v>0.1</v>
      </c>
      <c r="P5" s="82" t="s">
        <v>18</v>
      </c>
      <c r="Q5" s="18" t="e">
        <f>R5-P5</f>
        <v>#VALUE!</v>
      </c>
      <c r="R5" s="19">
        <v>1</v>
      </c>
      <c r="S5" s="20"/>
      <c r="T5" s="21"/>
      <c r="U5" s="11"/>
      <c r="V5" s="11"/>
      <c r="W5" s="11"/>
      <c r="X5" s="12"/>
      <c r="Y5" s="12"/>
      <c r="Z5" s="12"/>
      <c r="AA5" s="12"/>
    </row>
    <row r="6" spans="1:27" ht="25.5">
      <c r="A6" s="96" t="s">
        <v>11</v>
      </c>
      <c r="B6" s="76">
        <f aca="true" t="shared" si="0" ref="B6:O6">ROUND(B4*B5,0)</f>
        <v>9500000</v>
      </c>
      <c r="C6" s="76">
        <f t="shared" si="0"/>
        <v>1300000</v>
      </c>
      <c r="D6" s="76">
        <f t="shared" si="0"/>
        <v>380000</v>
      </c>
      <c r="E6" s="76">
        <f t="shared" si="0"/>
        <v>144000</v>
      </c>
      <c r="F6" s="76">
        <f t="shared" si="0"/>
        <v>220000</v>
      </c>
      <c r="G6" s="76">
        <f t="shared" si="0"/>
        <v>120000</v>
      </c>
      <c r="H6" s="76">
        <f t="shared" si="0"/>
        <v>240000</v>
      </c>
      <c r="I6" s="76">
        <f t="shared" si="0"/>
        <v>168000</v>
      </c>
      <c r="J6" s="76">
        <f t="shared" si="0"/>
        <v>66780</v>
      </c>
      <c r="K6" s="76">
        <f t="shared" si="0"/>
        <v>200000</v>
      </c>
      <c r="L6" s="76">
        <f t="shared" si="0"/>
        <v>6474440</v>
      </c>
      <c r="M6" s="76">
        <f t="shared" si="0"/>
        <v>1380000</v>
      </c>
      <c r="N6" s="76">
        <f t="shared" si="0"/>
        <v>1350000</v>
      </c>
      <c r="O6" s="76">
        <f t="shared" si="0"/>
        <v>302000</v>
      </c>
      <c r="P6" s="76">
        <f>SUM(B6:O6)</f>
        <v>21845220</v>
      </c>
      <c r="Q6" s="22">
        <f>R6-P6</f>
        <v>196606980</v>
      </c>
      <c r="R6" s="23">
        <f>R4</f>
        <v>218452200</v>
      </c>
      <c r="S6" s="20"/>
      <c r="T6" s="63"/>
      <c r="U6" s="65"/>
      <c r="V6" s="11"/>
      <c r="W6" s="11"/>
      <c r="X6" s="12"/>
      <c r="Y6" s="12"/>
      <c r="Z6" s="12"/>
      <c r="AA6" s="12"/>
    </row>
    <row r="7" spans="1:27" ht="25.5">
      <c r="A7" s="75" t="s">
        <v>22</v>
      </c>
      <c r="B7" s="74">
        <v>1717488</v>
      </c>
      <c r="C7" s="74">
        <v>712989</v>
      </c>
      <c r="D7" s="74">
        <v>120231</v>
      </c>
      <c r="E7" s="74">
        <v>38286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139038</v>
      </c>
      <c r="N7" s="74">
        <v>35935</v>
      </c>
      <c r="O7" s="74">
        <v>0</v>
      </c>
      <c r="P7" s="76">
        <f>SUM(B7:O7)</f>
        <v>2763967</v>
      </c>
      <c r="Q7" s="77"/>
      <c r="R7" s="78"/>
      <c r="S7" s="20"/>
      <c r="T7" s="63"/>
      <c r="U7" s="11"/>
      <c r="V7" s="11"/>
      <c r="W7" s="11"/>
      <c r="X7" s="12"/>
      <c r="Y7" s="12"/>
      <c r="Z7" s="12"/>
      <c r="AA7" s="12"/>
    </row>
    <row r="8" spans="1:27" ht="25.5">
      <c r="A8" s="75" t="s">
        <v>25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600000</v>
      </c>
      <c r="M8" s="76">
        <v>600000</v>
      </c>
      <c r="N8" s="76">
        <v>2000000</v>
      </c>
      <c r="O8" s="76">
        <v>200000</v>
      </c>
      <c r="P8" s="76">
        <f>SUM(B8:O8)</f>
        <v>3400000</v>
      </c>
      <c r="Q8" s="24">
        <v>0</v>
      </c>
      <c r="R8" s="25">
        <f>P8+Q8</f>
        <v>3400000</v>
      </c>
      <c r="S8" s="26"/>
      <c r="T8" s="27"/>
      <c r="U8" s="11"/>
      <c r="V8" s="11"/>
      <c r="W8" s="11"/>
      <c r="X8" s="12"/>
      <c r="Y8" s="12"/>
      <c r="Z8" s="12"/>
      <c r="AA8" s="12"/>
    </row>
    <row r="9" spans="1:27" ht="15">
      <c r="A9" s="28" t="s">
        <v>5</v>
      </c>
      <c r="B9" s="29">
        <v>0.5</v>
      </c>
      <c r="C9" s="29">
        <v>0.5</v>
      </c>
      <c r="D9" s="29">
        <v>0.5</v>
      </c>
      <c r="E9" s="29">
        <v>0.5</v>
      </c>
      <c r="F9" s="29">
        <v>0.5</v>
      </c>
      <c r="G9" s="29">
        <v>0.5</v>
      </c>
      <c r="H9" s="29">
        <v>0.5</v>
      </c>
      <c r="I9" s="29">
        <v>0.5</v>
      </c>
      <c r="J9" s="29">
        <v>0.5</v>
      </c>
      <c r="K9" s="29">
        <v>0.5</v>
      </c>
      <c r="L9" s="29">
        <v>0.5</v>
      </c>
      <c r="M9" s="29">
        <v>0.5</v>
      </c>
      <c r="N9" s="29">
        <v>0.5</v>
      </c>
      <c r="O9" s="29">
        <v>0.5</v>
      </c>
      <c r="P9" s="62" t="s">
        <v>18</v>
      </c>
      <c r="Q9" s="24">
        <v>519443</v>
      </c>
      <c r="R9" s="25" t="e">
        <f>P9+Q9</f>
        <v>#VALUE!</v>
      </c>
      <c r="S9" s="30">
        <v>30297</v>
      </c>
      <c r="T9" s="31" t="e">
        <f>R9-S9</f>
        <v>#VALUE!</v>
      </c>
      <c r="U9" s="11"/>
      <c r="V9" s="11"/>
      <c r="W9" s="11"/>
      <c r="X9" s="12"/>
      <c r="Y9" s="12"/>
      <c r="Z9" s="12"/>
      <c r="AA9" s="12"/>
    </row>
    <row r="10" spans="1:27" ht="25.5">
      <c r="A10" s="75" t="s">
        <v>13</v>
      </c>
      <c r="B10" s="76">
        <f>ROUND(B8*B9,0)</f>
        <v>0</v>
      </c>
      <c r="C10" s="76">
        <f aca="true" t="shared" si="1" ref="C10:O10">ROUND(C8*C9,0)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 t="shared" si="1"/>
        <v>0</v>
      </c>
      <c r="I10" s="76">
        <f t="shared" si="1"/>
        <v>0</v>
      </c>
      <c r="J10" s="76">
        <f t="shared" si="1"/>
        <v>0</v>
      </c>
      <c r="K10" s="76">
        <f t="shared" si="1"/>
        <v>0</v>
      </c>
      <c r="L10" s="76">
        <f>ROUND(L8*L9,0)</f>
        <v>300000</v>
      </c>
      <c r="M10" s="76">
        <f t="shared" si="1"/>
        <v>300000</v>
      </c>
      <c r="N10" s="76">
        <f t="shared" si="1"/>
        <v>1000000</v>
      </c>
      <c r="O10" s="76">
        <f t="shared" si="1"/>
        <v>100000</v>
      </c>
      <c r="P10" s="76">
        <f aca="true" t="shared" si="2" ref="P10:P15">SUM(B10:O10)</f>
        <v>1700000</v>
      </c>
      <c r="Q10" s="24"/>
      <c r="R10" s="25"/>
      <c r="S10" s="30"/>
      <c r="T10" s="31"/>
      <c r="U10" s="11"/>
      <c r="V10" s="11"/>
      <c r="W10" s="11"/>
      <c r="X10" s="12"/>
      <c r="Y10" s="12"/>
      <c r="Z10" s="12"/>
      <c r="AA10" s="12"/>
    </row>
    <row r="11" spans="1:27" ht="25.5">
      <c r="A11" s="96" t="s">
        <v>27</v>
      </c>
      <c r="B11" s="76">
        <v>360000</v>
      </c>
      <c r="C11" s="76">
        <v>107000</v>
      </c>
      <c r="D11" s="76">
        <v>24000</v>
      </c>
      <c r="E11" s="76">
        <v>10000</v>
      </c>
      <c r="F11" s="76">
        <v>12000</v>
      </c>
      <c r="G11" s="76">
        <v>16000</v>
      </c>
      <c r="H11" s="76">
        <v>21000</v>
      </c>
      <c r="I11" s="76">
        <v>11000</v>
      </c>
      <c r="J11" s="76">
        <v>7000</v>
      </c>
      <c r="K11" s="76">
        <v>25000</v>
      </c>
      <c r="L11" s="76">
        <v>28000</v>
      </c>
      <c r="M11" s="76">
        <v>28000</v>
      </c>
      <c r="N11" s="76">
        <v>23000</v>
      </c>
      <c r="O11" s="76">
        <v>8000</v>
      </c>
      <c r="P11" s="76">
        <f t="shared" si="2"/>
        <v>680000</v>
      </c>
      <c r="Q11" s="24"/>
      <c r="R11" s="25">
        <f>P11+Q11</f>
        <v>680000</v>
      </c>
      <c r="S11" s="26"/>
      <c r="T11" s="64"/>
      <c r="U11" s="65"/>
      <c r="V11" s="11"/>
      <c r="W11" s="11"/>
      <c r="X11" s="12"/>
      <c r="Y11" s="12"/>
      <c r="Z11" s="12"/>
      <c r="AA11" s="12"/>
    </row>
    <row r="12" spans="1:27" ht="15">
      <c r="A12" s="96" t="s">
        <v>24</v>
      </c>
      <c r="B12" s="84">
        <v>949000</v>
      </c>
      <c r="C12" s="84">
        <v>107000</v>
      </c>
      <c r="D12" s="84">
        <v>93000</v>
      </c>
      <c r="E12" s="84">
        <v>31000</v>
      </c>
      <c r="F12" s="84">
        <v>53000</v>
      </c>
      <c r="G12" s="84">
        <v>17000</v>
      </c>
      <c r="H12" s="84">
        <v>88000</v>
      </c>
      <c r="I12" s="84">
        <v>5000</v>
      </c>
      <c r="J12" s="84">
        <v>14000</v>
      </c>
      <c r="K12" s="84">
        <v>10000</v>
      </c>
      <c r="L12" s="84">
        <v>48000</v>
      </c>
      <c r="M12" s="84">
        <v>31000</v>
      </c>
      <c r="N12" s="84">
        <v>17000</v>
      </c>
      <c r="O12" s="84">
        <v>6000</v>
      </c>
      <c r="P12" s="76">
        <f>SUM(B12:O12)</f>
        <v>1469000</v>
      </c>
      <c r="Q12" s="24">
        <v>0</v>
      </c>
      <c r="R12" s="25">
        <f>P12+Q12</f>
        <v>1469000</v>
      </c>
      <c r="S12" s="30">
        <v>168999</v>
      </c>
      <c r="T12" s="31">
        <f>R12-S12</f>
        <v>1300001</v>
      </c>
      <c r="U12" s="11"/>
      <c r="V12" s="11"/>
      <c r="W12" s="11"/>
      <c r="X12" s="12"/>
      <c r="Y12" s="12"/>
      <c r="Z12" s="12"/>
      <c r="AA12" s="12"/>
    </row>
    <row r="13" spans="1:27" ht="15">
      <c r="A13" s="96" t="s">
        <v>14</v>
      </c>
      <c r="B13" s="76">
        <v>0</v>
      </c>
      <c r="C13" s="76">
        <v>50000</v>
      </c>
      <c r="D13" s="76">
        <v>57000</v>
      </c>
      <c r="E13" s="76">
        <v>3400</v>
      </c>
      <c r="F13" s="76">
        <v>12000</v>
      </c>
      <c r="G13" s="76">
        <v>2500</v>
      </c>
      <c r="H13" s="76">
        <v>32600</v>
      </c>
      <c r="I13" s="76">
        <v>4500</v>
      </c>
      <c r="J13" s="76">
        <v>11000</v>
      </c>
      <c r="K13" s="76">
        <v>6500</v>
      </c>
      <c r="L13" s="76">
        <v>7000</v>
      </c>
      <c r="M13" s="76">
        <v>17000</v>
      </c>
      <c r="N13" s="76">
        <v>13500</v>
      </c>
      <c r="O13" s="76">
        <v>7000</v>
      </c>
      <c r="P13" s="83">
        <f>SUM(B13:O13)</f>
        <v>224000</v>
      </c>
      <c r="Q13" s="24">
        <v>314</v>
      </c>
      <c r="R13" s="25">
        <f>P13+Q13</f>
        <v>224314</v>
      </c>
      <c r="S13" s="30">
        <v>18739</v>
      </c>
      <c r="T13" s="31">
        <f>R13-S13</f>
        <v>205575</v>
      </c>
      <c r="U13" s="11"/>
      <c r="V13" s="11"/>
      <c r="W13" s="11"/>
      <c r="X13" s="12"/>
      <c r="Y13" s="12"/>
      <c r="Z13" s="12"/>
      <c r="AA13" s="12"/>
    </row>
    <row r="14" spans="1:27" ht="15">
      <c r="A14" s="32" t="s">
        <v>19</v>
      </c>
      <c r="B14" s="85">
        <f aca="true" t="shared" si="3" ref="B14:P14">B6+B7+B10+B11+B12+B13</f>
        <v>12526488</v>
      </c>
      <c r="C14" s="85">
        <f t="shared" si="3"/>
        <v>2276989</v>
      </c>
      <c r="D14" s="85">
        <f t="shared" si="3"/>
        <v>674231</v>
      </c>
      <c r="E14" s="85">
        <f t="shared" si="3"/>
        <v>226686</v>
      </c>
      <c r="F14" s="85">
        <f t="shared" si="3"/>
        <v>297000</v>
      </c>
      <c r="G14" s="85">
        <f t="shared" si="3"/>
        <v>155500</v>
      </c>
      <c r="H14" s="85">
        <f t="shared" si="3"/>
        <v>381600</v>
      </c>
      <c r="I14" s="85">
        <f t="shared" si="3"/>
        <v>188500</v>
      </c>
      <c r="J14" s="85">
        <f t="shared" si="3"/>
        <v>98780</v>
      </c>
      <c r="K14" s="85">
        <f t="shared" si="3"/>
        <v>241500</v>
      </c>
      <c r="L14" s="85">
        <f t="shared" si="3"/>
        <v>6857440</v>
      </c>
      <c r="M14" s="85">
        <f t="shared" si="3"/>
        <v>1895038</v>
      </c>
      <c r="N14" s="85">
        <f t="shared" si="3"/>
        <v>2439435</v>
      </c>
      <c r="O14" s="85">
        <f t="shared" si="3"/>
        <v>423000</v>
      </c>
      <c r="P14" s="85">
        <f t="shared" si="3"/>
        <v>28682187</v>
      </c>
      <c r="Q14" s="33" t="e">
        <f>#REF!+#REF!+#REF!+Q6+#REF!+#REF!+#REF!+Q8+Q9+Q12+#REF!+#REF!+#REF!+#REF!+#REF!+#REF!+#REF!+#REF!+Q13+#REF!+#REF!+#REF!+#REF!+#REF!+#REF!+#REF!+#REF!+#REF!+#REF!+#REF!+#REF!+#REF!</f>
        <v>#REF!</v>
      </c>
      <c r="R14" s="34" t="e">
        <f>P14+Q14</f>
        <v>#REF!</v>
      </c>
      <c r="S14" s="35">
        <f>SUM(S4:S13)</f>
        <v>3949715</v>
      </c>
      <c r="T14" s="36" t="e">
        <f>SUM(T4:T13)</f>
        <v>#VALUE!</v>
      </c>
      <c r="U14" s="11"/>
      <c r="V14" s="11"/>
      <c r="W14" s="11"/>
      <c r="X14" s="12"/>
      <c r="Y14" s="12"/>
      <c r="Z14" s="12"/>
      <c r="AA14" s="12"/>
    </row>
    <row r="15" spans="1:23" ht="28.5" customHeight="1">
      <c r="A15" s="37" t="s">
        <v>23</v>
      </c>
      <c r="B15" s="86">
        <v>3714</v>
      </c>
      <c r="C15" s="86">
        <v>2395</v>
      </c>
      <c r="D15" s="86">
        <v>473</v>
      </c>
      <c r="E15" s="86">
        <v>159</v>
      </c>
      <c r="F15" s="86">
        <v>237</v>
      </c>
      <c r="G15" s="86">
        <v>234</v>
      </c>
      <c r="H15" s="86">
        <v>335</v>
      </c>
      <c r="I15" s="86">
        <v>148</v>
      </c>
      <c r="J15" s="86">
        <v>103</v>
      </c>
      <c r="K15" s="86">
        <v>248</v>
      </c>
      <c r="L15" s="86">
        <v>284</v>
      </c>
      <c r="M15" s="86">
        <v>690</v>
      </c>
      <c r="N15" s="86">
        <v>514</v>
      </c>
      <c r="O15" s="86">
        <v>250</v>
      </c>
      <c r="P15" s="91">
        <f t="shared" si="2"/>
        <v>9784</v>
      </c>
      <c r="Q15" s="38"/>
      <c r="R15" s="39"/>
      <c r="S15" s="40"/>
      <c r="T15" s="40"/>
      <c r="U15" s="41"/>
      <c r="V15" s="41"/>
      <c r="W15" s="42"/>
    </row>
    <row r="16" spans="1:23" ht="25.5">
      <c r="A16" s="95" t="s">
        <v>42</v>
      </c>
      <c r="B16" s="86">
        <f>B14/B15</f>
        <v>3372.7754442649434</v>
      </c>
      <c r="C16" s="86">
        <f>C14/C15</f>
        <v>950.7260960334029</v>
      </c>
      <c r="D16" s="86">
        <f>D14/D15</f>
        <v>1425.4355179704016</v>
      </c>
      <c r="E16" s="86">
        <f aca="true" t="shared" si="4" ref="E16:O16">E14/E15</f>
        <v>1425.698113207547</v>
      </c>
      <c r="F16" s="86">
        <f t="shared" si="4"/>
        <v>1253.1645569620252</v>
      </c>
      <c r="G16" s="86">
        <f t="shared" si="4"/>
        <v>664.5299145299145</v>
      </c>
      <c r="H16" s="86">
        <f t="shared" si="4"/>
        <v>1139.1044776119404</v>
      </c>
      <c r="I16" s="86">
        <f t="shared" si="4"/>
        <v>1273.6486486486488</v>
      </c>
      <c r="J16" s="86">
        <f t="shared" si="4"/>
        <v>959.0291262135922</v>
      </c>
      <c r="K16" s="86">
        <f t="shared" si="4"/>
        <v>973.7903225806451</v>
      </c>
      <c r="L16" s="86">
        <f t="shared" si="4"/>
        <v>24145.915492957745</v>
      </c>
      <c r="M16" s="86">
        <f t="shared" si="4"/>
        <v>2746.431884057971</v>
      </c>
      <c r="N16" s="86">
        <f t="shared" si="4"/>
        <v>4745.982490272374</v>
      </c>
      <c r="O16" s="86">
        <f t="shared" si="4"/>
        <v>1692</v>
      </c>
      <c r="P16" s="92">
        <f>P14/P15</f>
        <v>2931.539963205233</v>
      </c>
      <c r="Q16" s="44" t="e">
        <f>Q14/Q15</f>
        <v>#REF!</v>
      </c>
      <c r="R16" s="45" t="e">
        <f>R14/R15</f>
        <v>#REF!</v>
      </c>
      <c r="S16" s="45" t="e">
        <f>S14/S15</f>
        <v>#DIV/0!</v>
      </c>
      <c r="T16" s="45" t="e">
        <f>T14/T15</f>
        <v>#VALUE!</v>
      </c>
      <c r="U16" s="41"/>
      <c r="V16" s="41"/>
      <c r="W16" s="42"/>
    </row>
    <row r="17" spans="1:23" ht="15">
      <c r="A17" s="43" t="s">
        <v>6</v>
      </c>
      <c r="B17" s="87">
        <f>B16/$P$16</f>
        <v>1.1505132069143893</v>
      </c>
      <c r="C17" s="87">
        <f>C16/$P$16</f>
        <v>0.324309444171423</v>
      </c>
      <c r="D17" s="87">
        <f>D16/$P$16</f>
        <v>0.4862412028700046</v>
      </c>
      <c r="E17" s="87">
        <f>E16/$P$16</f>
        <v>0.486330778738129</v>
      </c>
      <c r="F17" s="87">
        <f aca="true" t="shared" si="5" ref="F17:T17">F16/$P$16</f>
        <v>0.4274765388467921</v>
      </c>
      <c r="G17" s="87">
        <f t="shared" si="5"/>
        <v>0.22668287755604843</v>
      </c>
      <c r="H17" s="87">
        <f t="shared" si="5"/>
        <v>0.38856863352000404</v>
      </c>
      <c r="I17" s="87">
        <f t="shared" si="5"/>
        <v>0.4344640239036995</v>
      </c>
      <c r="J17" s="87">
        <f t="shared" si="5"/>
        <v>0.3271417542488579</v>
      </c>
      <c r="K17" s="87">
        <f t="shared" si="5"/>
        <v>0.33217705874831066</v>
      </c>
      <c r="L17" s="87">
        <f t="shared" si="5"/>
        <v>8.236597759546669</v>
      </c>
      <c r="M17" s="87">
        <f t="shared" si="5"/>
        <v>0.9368563685057624</v>
      </c>
      <c r="N17" s="87">
        <f t="shared" si="5"/>
        <v>1.6189383565773734</v>
      </c>
      <c r="O17" s="87">
        <f>O16/$P$16</f>
        <v>0.5771710504502324</v>
      </c>
      <c r="P17" s="93">
        <f>P16/$P$16</f>
        <v>1</v>
      </c>
      <c r="Q17" s="46" t="e">
        <f t="shared" si="5"/>
        <v>#REF!</v>
      </c>
      <c r="R17" s="47" t="e">
        <f t="shared" si="5"/>
        <v>#REF!</v>
      </c>
      <c r="S17" s="47" t="e">
        <f t="shared" si="5"/>
        <v>#DIV/0!</v>
      </c>
      <c r="T17" s="47" t="e">
        <f t="shared" si="5"/>
        <v>#VALUE!</v>
      </c>
      <c r="U17" s="41"/>
      <c r="V17" s="41"/>
      <c r="W17" s="42"/>
    </row>
    <row r="18" spans="1:18" ht="15">
      <c r="A18" s="48" t="s">
        <v>7</v>
      </c>
      <c r="B18" s="87">
        <f>'[1]ИБР-2014'!$U$9</f>
        <v>1.0201291568944733</v>
      </c>
      <c r="C18" s="87">
        <f>'[1]ИБР-2014'!$U$10</f>
        <v>1.0116085755931676</v>
      </c>
      <c r="D18" s="87">
        <f>'[1]ИБР-2014'!$U$11</f>
        <v>1.0104493663501088</v>
      </c>
      <c r="E18" s="87">
        <f>'[1]ИБР-2014'!$U$12</f>
        <v>0.9782478521147832</v>
      </c>
      <c r="F18" s="87">
        <f>'[1]ИБР-2014'!$U$13</f>
        <v>0.9666753431016245</v>
      </c>
      <c r="G18" s="87">
        <f>'[1]ИБР-2014'!$U$14</f>
        <v>0.966977780467353</v>
      </c>
      <c r="H18" s="87">
        <f>'[1]ИБР-2014'!$U$15</f>
        <v>0.9992874648124287</v>
      </c>
      <c r="I18" s="87">
        <f>'[1]ИБР-2014'!$U$16</f>
        <v>0.9808612903508629</v>
      </c>
      <c r="J18" s="87">
        <f>'[1]ИБР-2014'!$U$17</f>
        <v>0.9973653950103073</v>
      </c>
      <c r="K18" s="87">
        <f>'[1]ИБР-2014'!$U$18</f>
        <v>0.9656290073766444</v>
      </c>
      <c r="L18" s="87">
        <f>'[1]ИБР-2014'!$U$19</f>
        <v>0.9627713452750023</v>
      </c>
      <c r="M18" s="87">
        <f>'[1]ИБР-2014'!$U$20-0.01</f>
        <v>0.9361879200861882</v>
      </c>
      <c r="N18" s="87">
        <f>'[1]ИБР-2014'!$U$21</f>
        <v>0.9539623825492314</v>
      </c>
      <c r="O18" s="87">
        <f>'[1]ИБР-2014'!$U$22</f>
        <v>0.9654486571462296</v>
      </c>
      <c r="P18" s="93">
        <v>1</v>
      </c>
      <c r="Q18" s="1"/>
      <c r="R18" s="1"/>
    </row>
    <row r="19" spans="1:18" ht="15.75">
      <c r="A19" s="49" t="s">
        <v>8</v>
      </c>
      <c r="B19" s="88">
        <f>B17/B18</f>
        <v>1.1278113159875143</v>
      </c>
      <c r="C19" s="88">
        <f>C17/C18</f>
        <v>0.32058787558345936</v>
      </c>
      <c r="D19" s="88">
        <f>D17/D18</f>
        <v>0.48121283367852374</v>
      </c>
      <c r="E19" s="88">
        <f aca="true" t="shared" si="6" ref="E19:O19">E17/E18</f>
        <v>0.4971447447462069</v>
      </c>
      <c r="F19" s="88">
        <f t="shared" si="6"/>
        <v>0.442213140013702</v>
      </c>
      <c r="G19" s="88">
        <f t="shared" si="6"/>
        <v>0.2344240810233402</v>
      </c>
      <c r="H19" s="88">
        <f t="shared" si="6"/>
        <v>0.3888456997636214</v>
      </c>
      <c r="I19" s="88">
        <f t="shared" si="6"/>
        <v>0.44294134978890626</v>
      </c>
      <c r="J19" s="88">
        <f t="shared" si="6"/>
        <v>0.32800592028308445</v>
      </c>
      <c r="K19" s="88">
        <f t="shared" si="6"/>
        <v>0.3440007044224436</v>
      </c>
      <c r="L19" s="88">
        <f t="shared" si="6"/>
        <v>8.555092338351635</v>
      </c>
      <c r="M19" s="88">
        <f>M17/M18</f>
        <v>1.0007140109429233</v>
      </c>
      <c r="N19" s="88">
        <f t="shared" si="6"/>
        <v>1.6970672913235385</v>
      </c>
      <c r="O19" s="88">
        <f t="shared" si="6"/>
        <v>0.5978267680813735</v>
      </c>
      <c r="P19" s="94">
        <f>P17/P18</f>
        <v>1</v>
      </c>
      <c r="Q19" s="1"/>
      <c r="R19" s="1"/>
    </row>
    <row r="20" spans="1:21" ht="9.7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3"/>
      <c r="S20" s="54"/>
      <c r="T20" s="54"/>
      <c r="U20" s="55"/>
    </row>
    <row r="21" spans="1:21" ht="15.75">
      <c r="A21" s="97" t="s">
        <v>15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  <c r="Q21" s="53"/>
      <c r="R21" s="53"/>
      <c r="S21" s="54"/>
      <c r="T21" s="54"/>
      <c r="U21" s="55"/>
    </row>
    <row r="22" spans="1:21" ht="25.5">
      <c r="A22" s="60" t="s">
        <v>10</v>
      </c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7"/>
      <c r="M22" s="67"/>
      <c r="N22" s="67"/>
      <c r="O22" s="68"/>
      <c r="P22" s="70">
        <v>1</v>
      </c>
      <c r="Q22" s="53"/>
      <c r="R22" s="53"/>
      <c r="S22" s="54"/>
      <c r="T22" s="54"/>
      <c r="U22" s="55"/>
    </row>
    <row r="23" spans="1:22" s="56" customFormat="1" ht="25.5">
      <c r="A23" s="58" t="s">
        <v>9</v>
      </c>
      <c r="B23" s="90">
        <f>IF(B19&lt;$P$22,$P14/$P15*($P22-B19)*B18*B15,0)</f>
        <v>0</v>
      </c>
      <c r="C23" s="90">
        <f>ROUND(IF(C19&lt;$P$22,$P14/$P15*($P22-C19)*C18*C15,0),-2)</f>
        <v>4825600</v>
      </c>
      <c r="D23" s="90">
        <f>ROUND(IF(D19&lt;$P$22,$P14/$P15*($P22-D19)*D18*D15,0),-2)</f>
        <v>726900</v>
      </c>
      <c r="E23" s="90">
        <f>ROUND(IF(E19&lt;$P$22,$P14/$P15*($P22-E19)*E18*E15,0),-2)</f>
        <v>229300</v>
      </c>
      <c r="F23" s="90">
        <f aca="true" t="shared" si="7" ref="F23:O23">ROUND(IF(F19&lt;$P$22,$P14/$P15*($P22-F19)*F18*F15,0),-2)</f>
        <v>374600</v>
      </c>
      <c r="G23" s="90">
        <f t="shared" si="7"/>
        <v>507800</v>
      </c>
      <c r="H23" s="90">
        <f t="shared" si="7"/>
        <v>599800</v>
      </c>
      <c r="I23" s="90">
        <f t="shared" si="7"/>
        <v>237100</v>
      </c>
      <c r="J23" s="90">
        <f t="shared" si="7"/>
        <v>202400</v>
      </c>
      <c r="K23" s="90">
        <f>ROUND(IF(K19&lt;$P$22,$P14/$P15*($P22-K19)*K18*K15,0),-2)</f>
        <v>460500</v>
      </c>
      <c r="L23" s="90">
        <f t="shared" si="7"/>
        <v>0</v>
      </c>
      <c r="M23" s="90">
        <f t="shared" si="7"/>
        <v>0</v>
      </c>
      <c r="N23" s="90">
        <f t="shared" si="7"/>
        <v>0</v>
      </c>
      <c r="O23" s="90">
        <f t="shared" si="7"/>
        <v>284600</v>
      </c>
      <c r="P23" s="90">
        <f>SUM(B23:O23)</f>
        <v>8448600</v>
      </c>
      <c r="U23" s="57"/>
      <c r="V23" s="61"/>
    </row>
    <row r="24" spans="1:22" s="56" customFormat="1" ht="60">
      <c r="A24" s="59" t="s">
        <v>16</v>
      </c>
      <c r="B24" s="90">
        <f>ROUND($P24*B23/$P23,0)</f>
        <v>0</v>
      </c>
      <c r="C24" s="90">
        <f>ROUND($P24*C23/$P23,0)-4</f>
        <v>1474761</v>
      </c>
      <c r="D24" s="90">
        <f>ROUND($P24*D23/$P23,0)-6</f>
        <v>222144</v>
      </c>
      <c r="E24" s="90">
        <f>ROUND($P24*E23/$P23,0)+5</f>
        <v>70082</v>
      </c>
      <c r="F24" s="90">
        <f>ROUND($P24*F23/$P23,0)+6</f>
        <v>114489</v>
      </c>
      <c r="G24" s="90">
        <f>ROUND($P24*G23/$P23,0)+6</f>
        <v>155196</v>
      </c>
      <c r="H24" s="90">
        <f>ROUND($P24*H23/$P23,0)</f>
        <v>183307</v>
      </c>
      <c r="I24" s="90">
        <f>ROUND($P24*I23/$P23,0)</f>
        <v>72461</v>
      </c>
      <c r="J24" s="90">
        <f>ROUND($P24*J23/$P23,0)-8</f>
        <v>61848</v>
      </c>
      <c r="K24" s="90">
        <f>ROUND($P24*K23/$P23,0)</f>
        <v>140735</v>
      </c>
      <c r="L24" s="90">
        <f>ROUND($P24*L23/$P23,0)</f>
        <v>0</v>
      </c>
      <c r="M24" s="90">
        <f>ROUND($P24*M23/$P23,0)</f>
        <v>0</v>
      </c>
      <c r="N24" s="90">
        <f>ROUND($P24*N23/$P23,0)</f>
        <v>0</v>
      </c>
      <c r="O24" s="90">
        <f>ROUND($P24*O23/$P23,0)</f>
        <v>86977</v>
      </c>
      <c r="P24" s="90">
        <v>2582000</v>
      </c>
      <c r="U24" s="57"/>
      <c r="V24" s="61"/>
    </row>
    <row r="25" spans="1:22" ht="45">
      <c r="A25" s="59" t="s">
        <v>17</v>
      </c>
      <c r="B25" s="90">
        <f>ROUND($P25*B23/$P23,0)</f>
        <v>0</v>
      </c>
      <c r="C25" s="90">
        <f>ROUND($P25*C23/$P23,0)+4</f>
        <v>3350839</v>
      </c>
      <c r="D25" s="90">
        <f>ROUND($P25*D23/$P23,0)+6</f>
        <v>504756</v>
      </c>
      <c r="E25" s="90">
        <f>ROUND($P25*E23/$P23,0)-5</f>
        <v>159218</v>
      </c>
      <c r="F25" s="90">
        <f>ROUND($P25*F23/$P23,0)-5</f>
        <v>260112</v>
      </c>
      <c r="G25" s="90">
        <f>ROUND($P25*G23/$P23,0)+4</f>
        <v>352614</v>
      </c>
      <c r="H25" s="90">
        <f>ROUND($P25*H23/$P23,0)-4</f>
        <v>416489</v>
      </c>
      <c r="I25" s="90">
        <f>ROUND($P25*I23/$P23,0)+1</f>
        <v>164640</v>
      </c>
      <c r="J25" s="90">
        <f aca="true" t="shared" si="8" ref="J25:O25">ROUND($P25*J23/$P23,0)</f>
        <v>140544</v>
      </c>
      <c r="K25" s="90">
        <f t="shared" si="8"/>
        <v>319765</v>
      </c>
      <c r="L25" s="90">
        <f t="shared" si="8"/>
        <v>0</v>
      </c>
      <c r="M25" s="90">
        <f t="shared" si="8"/>
        <v>0</v>
      </c>
      <c r="N25" s="90">
        <f t="shared" si="8"/>
        <v>0</v>
      </c>
      <c r="O25" s="90">
        <f t="shared" si="8"/>
        <v>197623</v>
      </c>
      <c r="P25" s="90">
        <f>+P23-P24</f>
        <v>5866600</v>
      </c>
      <c r="U25" s="61"/>
      <c r="V25" s="61"/>
    </row>
    <row r="26" spans="1:22" ht="15">
      <c r="A26" s="71" t="s">
        <v>21</v>
      </c>
      <c r="B26" s="90">
        <f>SUM(B24:B25)</f>
        <v>0</v>
      </c>
      <c r="C26" s="90">
        <f>SUM(C24:C25)</f>
        <v>4825600</v>
      </c>
      <c r="D26" s="90">
        <f aca="true" t="shared" si="9" ref="D26:T26">SUM(D24:D25)</f>
        <v>726900</v>
      </c>
      <c r="E26" s="90">
        <f t="shared" si="9"/>
        <v>229300</v>
      </c>
      <c r="F26" s="90">
        <f t="shared" si="9"/>
        <v>374601</v>
      </c>
      <c r="G26" s="90">
        <f t="shared" si="9"/>
        <v>507810</v>
      </c>
      <c r="H26" s="90">
        <f t="shared" si="9"/>
        <v>599796</v>
      </c>
      <c r="I26" s="90">
        <f t="shared" si="9"/>
        <v>237101</v>
      </c>
      <c r="J26" s="90">
        <f t="shared" si="9"/>
        <v>202392</v>
      </c>
      <c r="K26" s="90">
        <f t="shared" si="9"/>
        <v>460500</v>
      </c>
      <c r="L26" s="90">
        <f t="shared" si="9"/>
        <v>0</v>
      </c>
      <c r="M26" s="90">
        <f t="shared" si="9"/>
        <v>0</v>
      </c>
      <c r="N26" s="90">
        <f t="shared" si="9"/>
        <v>0</v>
      </c>
      <c r="O26" s="90">
        <f t="shared" si="9"/>
        <v>284600</v>
      </c>
      <c r="P26" s="90">
        <f t="shared" si="9"/>
        <v>8448600</v>
      </c>
      <c r="Q26" s="72">
        <f t="shared" si="9"/>
        <v>0</v>
      </c>
      <c r="R26" s="72">
        <f t="shared" si="9"/>
        <v>0</v>
      </c>
      <c r="S26" s="72">
        <f t="shared" si="9"/>
        <v>0</v>
      </c>
      <c r="T26" s="72">
        <f t="shared" si="9"/>
        <v>0</v>
      </c>
      <c r="U26" s="61"/>
      <c r="V26" s="61"/>
    </row>
    <row r="27" spans="1:16" ht="25.5">
      <c r="A27" s="73" t="s">
        <v>20</v>
      </c>
      <c r="B27" s="89">
        <f>B19+(B26/(B15*B18*$P$16))</f>
        <v>1.1278113159875143</v>
      </c>
      <c r="C27" s="89">
        <f>C19+(C26/(C15*C18*$P$16))</f>
        <v>1.0000065519211763</v>
      </c>
      <c r="D27" s="89">
        <f aca="true" t="shared" si="10" ref="D27:O27">D19+(D26/(D15*D18*$P$16))</f>
        <v>1.0000166394971806</v>
      </c>
      <c r="E27" s="89">
        <f t="shared" si="10"/>
        <v>1.000022249180999</v>
      </c>
      <c r="F27" s="89">
        <f t="shared" si="10"/>
        <v>0.9999689799540143</v>
      </c>
      <c r="G27" s="89">
        <f t="shared" si="10"/>
        <v>0.9999732294764744</v>
      </c>
      <c r="H27" s="89">
        <f t="shared" si="10"/>
        <v>1.000030435967555</v>
      </c>
      <c r="I27" s="89">
        <f t="shared" si="10"/>
        <v>1.000086373535853</v>
      </c>
      <c r="J27" s="89">
        <f t="shared" si="10"/>
        <v>1.0000627558564195</v>
      </c>
      <c r="K27" s="89">
        <f t="shared" si="10"/>
        <v>0.999952358196917</v>
      </c>
      <c r="L27" s="89">
        <f t="shared" si="10"/>
        <v>8.555092338351635</v>
      </c>
      <c r="M27" s="89">
        <f t="shared" si="10"/>
        <v>1.0007140109429233</v>
      </c>
      <c r="N27" s="89">
        <f t="shared" si="10"/>
        <v>1.6970672913235385</v>
      </c>
      <c r="O27" s="89">
        <f t="shared" si="10"/>
        <v>1.0000525321380138</v>
      </c>
      <c r="P27" s="89"/>
    </row>
    <row r="29" spans="2:16" ht="12.7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</sheetData>
  <sheetProtection formatCells="0"/>
  <mergeCells count="2">
    <mergeCell ref="A21:P21"/>
    <mergeCell ref="N2:P2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 Мезень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Владимир Ф. Щепихин</cp:lastModifiedBy>
  <cp:lastPrinted>2013-12-20T12:02:29Z</cp:lastPrinted>
  <dcterms:created xsi:type="dcterms:W3CDTF">2001-03-01T07:10:00Z</dcterms:created>
  <dcterms:modified xsi:type="dcterms:W3CDTF">2014-02-04T09:20:14Z</dcterms:modified>
  <cp:category/>
  <cp:version/>
  <cp:contentType/>
  <cp:contentStatus/>
</cp:coreProperties>
</file>