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'ведомств'!$A$1:$J$576</definedName>
    <definedName name="_xlnm.Print_Area" localSheetId="0">'разд,подр'!$A$1:$F$77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</authors>
  <commentList>
    <comment ref="G520" authorId="0">
      <text>
        <r>
          <rPr>
            <sz val="8"/>
            <rFont val="Tahoma"/>
            <family val="0"/>
          </rPr>
          <t>доп.из обл.бюдж.</t>
        </r>
      </text>
    </comment>
    <comment ref="H160" authorId="0">
      <text>
        <r>
          <rPr>
            <sz val="8"/>
            <rFont val="Tahoma"/>
            <family val="0"/>
          </rPr>
          <t>доп.обл.-12264500
пер.16400468 в 500
пер.600т.р из 0701
1150000 из 500</t>
        </r>
      </text>
    </comment>
    <comment ref="H154" authorId="0">
      <text>
        <r>
          <rPr>
            <sz val="8"/>
            <rFont val="Tahoma"/>
            <family val="0"/>
          </rPr>
          <t>обл.</t>
        </r>
      </text>
    </comment>
    <comment ref="H59" authorId="0">
      <text>
        <r>
          <rPr>
            <sz val="8"/>
            <rFont val="Tahoma"/>
            <family val="0"/>
          </rPr>
          <t xml:space="preserve">доп.
</t>
        </r>
      </text>
    </comment>
    <comment ref="H354" authorId="0">
      <text>
        <r>
          <rPr>
            <sz val="8"/>
            <rFont val="Tahoma"/>
            <family val="0"/>
          </rPr>
          <t>доп.обл.</t>
        </r>
      </text>
    </comment>
    <comment ref="H45" authorId="0">
      <text>
        <r>
          <rPr>
            <sz val="8"/>
            <rFont val="Tahoma"/>
            <family val="0"/>
          </rPr>
          <t xml:space="preserve">обл.повыш
</t>
        </r>
      </text>
    </comment>
    <comment ref="H139" authorId="0">
      <text>
        <r>
          <rPr>
            <sz val="8"/>
            <rFont val="Tahoma"/>
            <family val="0"/>
          </rPr>
          <t xml:space="preserve">обл.
</t>
        </r>
      </text>
    </comment>
    <comment ref="H43" authorId="0">
      <text>
        <r>
          <rPr>
            <sz val="8"/>
            <rFont val="Tahoma"/>
            <family val="0"/>
          </rPr>
          <t>доп.</t>
        </r>
      </text>
    </comment>
    <comment ref="H168" authorId="0">
      <text>
        <r>
          <rPr>
            <sz val="8"/>
            <rFont val="Tahoma"/>
            <family val="0"/>
          </rPr>
          <t>доп.льготы</t>
        </r>
      </text>
    </comment>
    <comment ref="H109" authorId="0">
      <text>
        <r>
          <rPr>
            <sz val="8"/>
            <rFont val="Tahoma"/>
            <family val="0"/>
          </rPr>
          <t xml:space="preserve">от колх.волейбол-5000
200 000 перенос в РУО
</t>
        </r>
      </text>
    </comment>
    <comment ref="H73" authorId="0">
      <text>
        <r>
          <rPr>
            <sz val="8"/>
            <rFont val="Tahoma"/>
            <family val="0"/>
          </rPr>
          <t>11593,03-доп
46000-крыша музея
50000-музей</t>
        </r>
      </text>
    </comment>
    <comment ref="H74" authorId="0">
      <text>
        <r>
          <rPr>
            <sz val="8"/>
            <rFont val="Tahoma"/>
            <family val="0"/>
          </rPr>
          <t>2805,25-доп</t>
        </r>
      </text>
    </comment>
    <comment ref="H87" authorId="0">
      <text>
        <r>
          <rPr>
            <sz val="8"/>
            <rFont val="Tahoma"/>
            <family val="0"/>
          </rPr>
          <t>доп.-476,92
1439-нал на им пер.0113
9903-доп</t>
        </r>
      </text>
    </comment>
    <comment ref="H63" authorId="0">
      <text>
        <r>
          <rPr>
            <sz val="8"/>
            <rFont val="Tahoma"/>
            <family val="2"/>
          </rPr>
          <t>32394-налог на им
470т.р изм тарифа
64686-повыш ФОТ (от пос)
125087,48-предача полномочий от пос(Коз,Койда,Руч,Мос)</t>
        </r>
      </text>
    </comment>
    <comment ref="H67" authorId="0">
      <text>
        <r>
          <rPr>
            <sz val="8"/>
            <rFont val="Tahoma"/>
            <family val="0"/>
          </rPr>
          <t>23187-налог на имущ
165000-изм тарифа</t>
        </r>
      </text>
    </comment>
    <comment ref="H36" authorId="0">
      <text>
        <r>
          <rPr>
            <sz val="8"/>
            <rFont val="Tahoma"/>
            <family val="0"/>
          </rPr>
          <t>1502-нал на им
700т.р на повыш ФОТ пед.раб.
65 тыс снято на изм.тарифа</t>
        </r>
      </text>
    </comment>
    <comment ref="H273" authorId="0">
      <text>
        <r>
          <rPr>
            <sz val="8"/>
            <rFont val="Tahoma"/>
            <family val="2"/>
          </rPr>
          <t>304-нал.на имущ</t>
        </r>
      </text>
    </comment>
    <comment ref="H249" authorId="0">
      <text>
        <r>
          <rPr>
            <sz val="8"/>
            <rFont val="Tahoma"/>
            <family val="0"/>
          </rPr>
          <t>доп.нал на имущ</t>
        </r>
      </text>
    </comment>
    <comment ref="H347" authorId="0">
      <text>
        <r>
          <rPr>
            <sz val="8"/>
            <rFont val="Tahoma"/>
            <family val="0"/>
          </rPr>
          <t>доп.кон.сор.</t>
        </r>
      </text>
    </comment>
    <comment ref="H134" authorId="0">
      <text>
        <r>
          <rPr>
            <sz val="8"/>
            <rFont val="Tahoma"/>
            <family val="0"/>
          </rPr>
          <t>пер.990239 в 500</t>
        </r>
      </text>
    </comment>
    <comment ref="H135" authorId="0">
      <text>
        <r>
          <rPr>
            <sz val="8"/>
            <rFont val="Tahoma"/>
            <family val="0"/>
          </rPr>
          <t>990239из 702
пер 600000 в 0701</t>
        </r>
      </text>
    </comment>
    <comment ref="H150" authorId="0">
      <text>
        <r>
          <rPr>
            <sz val="8"/>
            <rFont val="Tahoma"/>
            <family val="0"/>
          </rPr>
          <t xml:space="preserve">нал.на им-212 руб.
увел.ФОТ пед.раб.-390т.р
</t>
        </r>
      </text>
    </comment>
    <comment ref="H144" authorId="0">
      <text>
        <r>
          <rPr>
            <sz val="8"/>
            <rFont val="Tahoma"/>
            <family val="0"/>
          </rPr>
          <t xml:space="preserve">нал на имущ
</t>
        </r>
      </text>
    </comment>
    <comment ref="H194" authorId="0">
      <text>
        <r>
          <rPr>
            <sz val="8"/>
            <rFont val="Tahoma"/>
            <family val="2"/>
          </rPr>
          <t>налог на им.</t>
        </r>
      </text>
    </comment>
    <comment ref="H492" authorId="0">
      <text>
        <r>
          <rPr>
            <sz val="8"/>
            <rFont val="Tahoma"/>
            <family val="0"/>
          </rPr>
          <t>доп.обл.не распр.</t>
        </r>
      </text>
    </comment>
    <comment ref="H48" authorId="0">
      <text>
        <r>
          <rPr>
            <sz val="8"/>
            <rFont val="Tahoma"/>
            <family val="0"/>
          </rPr>
          <t xml:space="preserve">доп.стипендии
</t>
        </r>
      </text>
    </comment>
    <comment ref="H145" authorId="0">
      <text>
        <r>
          <rPr>
            <sz val="8"/>
            <rFont val="Tahoma"/>
            <family val="0"/>
          </rPr>
          <t>интернат перенос из 0701 7950503 003</t>
        </r>
      </text>
    </comment>
    <comment ref="H471" authorId="0">
      <text>
        <r>
          <rPr>
            <sz val="8"/>
            <rFont val="Tahoma"/>
            <family val="0"/>
          </rPr>
          <t>перенос в 0702 4219900 703</t>
        </r>
      </text>
    </comment>
    <comment ref="H446" authorId="0">
      <text>
        <r>
          <rPr>
            <sz val="8"/>
            <rFont val="Tahoma"/>
            <family val="0"/>
          </rPr>
          <t xml:space="preserve">перенос в поселения
</t>
        </r>
      </text>
    </comment>
    <comment ref="H366" authorId="0">
      <text>
        <r>
          <rPr>
            <sz val="8"/>
            <rFont val="Tahoma"/>
            <family val="0"/>
          </rPr>
          <t xml:space="preserve">ремонт газели в Дорогорском
</t>
        </r>
      </text>
    </comment>
    <comment ref="H472" authorId="0">
      <text>
        <r>
          <rPr>
            <sz val="8"/>
            <rFont val="Tahoma"/>
            <family val="0"/>
          </rPr>
          <t xml:space="preserve">доп.телефониз.д/с
</t>
        </r>
      </text>
    </comment>
    <comment ref="H224" authorId="0">
      <text>
        <r>
          <rPr>
            <sz val="8"/>
            <rFont val="Tahoma"/>
            <family val="0"/>
          </rPr>
          <t xml:space="preserve">пер из 015
</t>
        </r>
      </text>
    </comment>
    <comment ref="H229" authorId="0">
      <text>
        <r>
          <rPr>
            <sz val="8"/>
            <rFont val="Tahoma"/>
            <family val="0"/>
          </rPr>
          <t>доп.обл.</t>
        </r>
      </text>
    </comment>
    <comment ref="H197" authorId="0">
      <text>
        <r>
          <rPr>
            <sz val="8"/>
            <rFont val="Tahoma"/>
            <family val="0"/>
          </rPr>
          <t>пер из безоп.</t>
        </r>
      </text>
    </comment>
    <comment ref="H171" authorId="0">
      <text>
        <r>
          <rPr>
            <sz val="8"/>
            <rFont val="Tahoma"/>
            <family val="0"/>
          </rPr>
          <t>пер в 0709-100тр
пер 0702 внешк-390т.р</t>
        </r>
      </text>
    </comment>
    <comment ref="H362" authorId="0">
      <text>
        <r>
          <rPr>
            <sz val="8"/>
            <rFont val="Tahoma"/>
            <family val="0"/>
          </rPr>
          <t>доп катер</t>
        </r>
      </text>
    </comment>
    <comment ref="H61" authorId="0">
      <text>
        <r>
          <rPr>
            <sz val="8"/>
            <rFont val="Tahoma"/>
            <family val="0"/>
          </rPr>
          <t xml:space="preserve">пож.безоп.учр.культ
</t>
        </r>
      </text>
    </comment>
    <comment ref="H39" authorId="0">
      <text>
        <r>
          <rPr>
            <sz val="8"/>
            <rFont val="Tahoma"/>
            <family val="0"/>
          </rPr>
          <t>доп.муз.инстр.</t>
        </r>
      </text>
    </comment>
    <comment ref="H434" authorId="0">
      <text>
        <r>
          <rPr>
            <sz val="8"/>
            <rFont val="Tahoma"/>
            <family val="0"/>
          </rPr>
          <t>доп.модерниз</t>
        </r>
      </text>
    </comment>
    <comment ref="H447" authorId="0">
      <text>
        <r>
          <rPr>
            <sz val="8"/>
            <rFont val="Tahoma"/>
            <family val="0"/>
          </rPr>
          <t>соф. По модернизации за счет переноса из других подразделов</t>
        </r>
      </text>
    </comment>
    <comment ref="H371" authorId="0">
      <text>
        <r>
          <rPr>
            <sz val="8"/>
            <rFont val="Tahoma"/>
            <family val="0"/>
          </rPr>
          <t>550000-на автобус</t>
        </r>
      </text>
    </comment>
    <comment ref="H370" authorId="0">
      <text>
        <r>
          <rPr>
            <sz val="8"/>
            <rFont val="Tahoma"/>
            <family val="0"/>
          </rPr>
          <t>300т.р доставка катера</t>
        </r>
      </text>
    </comment>
    <comment ref="H421" authorId="0">
      <text>
        <r>
          <rPr>
            <sz val="8"/>
            <rFont val="Tahoma"/>
            <family val="0"/>
          </rPr>
          <t>жил.стр.</t>
        </r>
      </text>
    </comment>
    <comment ref="H466" authorId="0">
      <text>
        <r>
          <rPr>
            <sz val="8"/>
            <rFont val="Tahoma"/>
            <family val="0"/>
          </rPr>
          <t>перенос в 0502 модернизация</t>
        </r>
      </text>
    </comment>
    <comment ref="H438" authorId="0">
      <text>
        <r>
          <rPr>
            <sz val="8"/>
            <rFont val="Tahoma"/>
            <family val="0"/>
          </rPr>
          <t>на соф.модернизации согл.приложению пер.из0701</t>
        </r>
      </text>
    </comment>
    <comment ref="H334" authorId="0">
      <text>
        <r>
          <rPr>
            <sz val="8"/>
            <rFont val="Tahoma"/>
            <family val="0"/>
          </rPr>
          <t xml:space="preserve">пер.в др.разделы
</t>
        </r>
      </text>
    </comment>
    <comment ref="H292" authorId="0">
      <text>
        <r>
          <rPr>
            <sz val="8"/>
            <rFont val="Tahoma"/>
            <family val="0"/>
          </rPr>
          <t>пер.в др.подр.</t>
        </r>
      </text>
    </comment>
    <comment ref="H339" authorId="0">
      <text>
        <r>
          <rPr>
            <sz val="8"/>
            <rFont val="Tahoma"/>
            <family val="0"/>
          </rPr>
          <t>пер.в др.подр</t>
        </r>
      </text>
    </comment>
    <comment ref="H441" authorId="0">
      <text>
        <r>
          <rPr>
            <sz val="8"/>
            <rFont val="Tahoma"/>
            <family val="0"/>
          </rPr>
          <t>пер в др.подр.</t>
        </r>
      </text>
    </comment>
    <comment ref="H494" authorId="0">
      <text>
        <r>
          <rPr>
            <sz val="8"/>
            <rFont val="Tahoma"/>
            <family val="0"/>
          </rPr>
          <t>64686-перенос в 0801(ОК)</t>
        </r>
      </text>
    </comment>
  </commentList>
</comments>
</file>

<file path=xl/sharedStrings.xml><?xml version="1.0" encoding="utf-8"?>
<sst xmlns="http://schemas.openxmlformats.org/spreadsheetml/2006/main" count="2798" uniqueCount="479">
  <si>
    <t>491 00 00</t>
  </si>
  <si>
    <t>340 03 00</t>
  </si>
  <si>
    <t>Процентные платежи по муниципальному долгу</t>
  </si>
  <si>
    <t>065 03 00</t>
  </si>
  <si>
    <t>Резервные фонды  исполнительных органов местного самоуправления</t>
  </si>
  <si>
    <t>070 05 00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</si>
  <si>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</si>
  <si>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</si>
  <si>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</si>
  <si>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</si>
  <si>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 xml:space="preserve">Социальные выплаты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</si>
  <si>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</si>
  <si>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</si>
  <si>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</si>
  <si>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Дворцы и дома культуры, другие учреждения культуры и средств массовой информации</t>
  </si>
  <si>
    <t>440 00 00</t>
  </si>
  <si>
    <t>07</t>
  </si>
  <si>
    <t>06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</si>
  <si>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</si>
  <si>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</si>
  <si>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</si>
  <si>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</si>
  <si>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</si>
  <si>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</si>
  <si>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</si>
  <si>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</si>
  <si>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</si>
  <si>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</si>
  <si>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</si>
  <si>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</si>
  <si>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</si>
  <si>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505 33 00</t>
  </si>
  <si>
    <t>Дошкольное образование</t>
  </si>
  <si>
    <t>432 00 00</t>
  </si>
  <si>
    <t>450 00 00</t>
  </si>
  <si>
    <t>450 85 00</t>
  </si>
  <si>
    <t>013</t>
  </si>
  <si>
    <t>Целевая статья</t>
  </si>
  <si>
    <t>Наименование</t>
  </si>
  <si>
    <t>Раз-дел</t>
  </si>
  <si>
    <t>Под-раз-дел</t>
  </si>
  <si>
    <t>03</t>
  </si>
  <si>
    <t>551 00 00</t>
  </si>
  <si>
    <t>551 01 00</t>
  </si>
  <si>
    <t>551 01 01</t>
  </si>
  <si>
    <t>551 02 00</t>
  </si>
  <si>
    <t>551 02 08</t>
  </si>
  <si>
    <t>551 01 05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</si>
  <si>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</si>
  <si>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</si>
  <si>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</si>
  <si>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</si>
  <si>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</si>
  <si>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</si>
  <si>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</si>
  <si>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</si>
  <si>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</si>
  <si>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</si>
  <si>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</si>
  <si>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</si>
  <si>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</si>
  <si>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</si>
  <si>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Предоставление гражданам субсидий на оплату жилого помещения и коммунальных услуг</t>
  </si>
  <si>
    <t>505 48 00</t>
  </si>
  <si>
    <t>Охрана семьи и детства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</si>
  <si>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 органам местного самоуправления государственным полномочиям</t>
  </si>
  <si>
    <t>Прочие расходы</t>
  </si>
  <si>
    <t>Субсидии юридическим лицам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</si>
  <si>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</si>
  <si>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</si>
  <si>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</si>
  <si>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</si>
  <si>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</si>
  <si>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</si>
  <si>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Транспорт</t>
  </si>
  <si>
    <t>Глава муниципального образования</t>
  </si>
  <si>
    <t>Председатель представительного органа муниципального образования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</si>
  <si>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</si>
  <si>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</si>
  <si>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</si>
  <si>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</si>
  <si>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</si>
  <si>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Национальная безопасность и правоохранительная деятельность</t>
  </si>
  <si>
    <t>Социальные выплаты</t>
  </si>
  <si>
    <t>08</t>
  </si>
  <si>
    <t>Культура</t>
  </si>
  <si>
    <t>14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</si>
  <si>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</si>
  <si>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10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</si>
  <si>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</si>
  <si>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</si>
  <si>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</si>
  <si>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</si>
  <si>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 xml:space="preserve">03 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</si>
  <si>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</si>
  <si>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</si>
  <si>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</si>
  <si>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</si>
  <si>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государственных функций в области национальной экономики</t>
  </si>
  <si>
    <t>340 00 00</t>
  </si>
  <si>
    <t xml:space="preserve">Осуществление государственных полномочий по созданию и функционированию комиссий по делам несовершеннолетних и защите их прав 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</si>
  <si>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</si>
  <si>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</si>
  <si>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</si>
  <si>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</si>
  <si>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</si>
  <si>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</si>
  <si>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</si>
  <si>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Другие вопросы в области образования</t>
  </si>
  <si>
    <t>440 99 00</t>
  </si>
  <si>
    <t>Библиотеки</t>
  </si>
  <si>
    <t>442 00 00</t>
  </si>
  <si>
    <t>442 99 00</t>
  </si>
  <si>
    <t>Детские сады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</si>
  <si>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</si>
  <si>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</si>
  <si>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</si>
  <si>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</si>
  <si>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</si>
  <si>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</si>
  <si>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</si>
  <si>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</si>
  <si>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</si>
  <si>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</si>
  <si>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Иные безвозмездные и безвозвратные перечисления</t>
  </si>
  <si>
    <t>520 00 00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</si>
  <si>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</si>
  <si>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</si>
  <si>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</si>
  <si>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Фонд софинансирования</t>
  </si>
  <si>
    <t>010</t>
  </si>
  <si>
    <t>Фонд компенсаций</t>
  </si>
  <si>
    <t>009</t>
  </si>
  <si>
    <t>500</t>
  </si>
  <si>
    <t>Выполнение функций органами местного самоуправления</t>
  </si>
  <si>
    <t>7</t>
  </si>
  <si>
    <t>002 03 00</t>
  </si>
  <si>
    <t>002 11 00</t>
  </si>
  <si>
    <t>Реализация государственных функций, связанных с общегосударственным управлением</t>
  </si>
  <si>
    <t>092 00 00</t>
  </si>
  <si>
    <t>Региональные целевые программы</t>
  </si>
  <si>
    <t>522 00 00</t>
  </si>
  <si>
    <t>Бюджетные инвестиции</t>
  </si>
  <si>
    <t>003</t>
  </si>
  <si>
    <t>551 01 08</t>
  </si>
  <si>
    <t>432 99 00</t>
  </si>
  <si>
    <t>447</t>
  </si>
  <si>
    <t>Целевые программы муниципальных образований</t>
  </si>
  <si>
    <t>795 00 00</t>
  </si>
  <si>
    <t>079</t>
  </si>
  <si>
    <t>Мероприятия в области спорта и физической культуры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</si>
  <si>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</si>
  <si>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</si>
  <si>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</si>
  <si>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ВСЕГО</t>
  </si>
  <si>
    <t>516 00 00</t>
  </si>
  <si>
    <t>Выравнивание бюджетной обеспеченности</t>
  </si>
  <si>
    <t>516 01 00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</si>
  <si>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</si>
  <si>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</si>
  <si>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</si>
  <si>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</si>
  <si>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Глава</t>
  </si>
  <si>
    <t>8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</si>
  <si>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</si>
  <si>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</si>
  <si>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</si>
  <si>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</si>
  <si>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</si>
  <si>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505 36 01</t>
  </si>
  <si>
    <t>001 00 00</t>
  </si>
  <si>
    <t>001 36 00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</si>
  <si>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районного бюджета</t>
  </si>
  <si>
    <t>421 99 05</t>
  </si>
  <si>
    <t>442 99 05</t>
  </si>
  <si>
    <t>Субсидии на осуществление мероприятий по обеспечению жильем граждан РФ, проживающих в сельской местности</t>
  </si>
  <si>
    <t>099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</si>
  <si>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</si>
  <si>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</si>
  <si>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</si>
  <si>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</si>
  <si>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 xml:space="preserve">Бюджетные инвестиции </t>
  </si>
  <si>
    <t>505 37 00</t>
  </si>
  <si>
    <t>505 37 01</t>
  </si>
  <si>
    <t>Жилищно-коммунальное хозяйство</t>
  </si>
  <si>
    <t xml:space="preserve">Коммунальное хозяйство </t>
  </si>
  <si>
    <t>Коммунальное хозяйство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</si>
  <si>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</si>
  <si>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</si>
  <si>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</si>
  <si>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</si>
  <si>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</si>
  <si>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</si>
  <si>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</si>
  <si>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522 04 00</t>
  </si>
  <si>
    <t>522 04 02</t>
  </si>
  <si>
    <t>Выравнивание бюджетной обеспеченности поселений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</si>
  <si>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</si>
  <si>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505 36 00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</si>
  <si>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</si>
  <si>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</si>
  <si>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</si>
  <si>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</si>
  <si>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</si>
  <si>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</si>
  <si>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</si>
  <si>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– 4) классов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</si>
  <si>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</si>
  <si>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</si>
  <si>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</si>
  <si>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</si>
  <si>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</si>
  <si>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795 02 00</t>
  </si>
  <si>
    <t>795 03 00</t>
  </si>
  <si>
    <t>795 04 00</t>
  </si>
  <si>
    <t>795 05 00</t>
  </si>
  <si>
    <t>795 05 04</t>
  </si>
  <si>
    <t>Подпрограмма "Строительная инфраструктура"</t>
  </si>
  <si>
    <t>795 05 03</t>
  </si>
  <si>
    <t>Подпрограмма "Социальное строительство"</t>
  </si>
  <si>
    <t>795 06 00</t>
  </si>
  <si>
    <t>795 07 00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</si>
  <si>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</si>
  <si>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</si>
  <si>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</si>
  <si>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</si>
  <si>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</si>
  <si>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</si>
  <si>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культуры, туризма</t>
  </si>
  <si>
    <t>Средства массовой информации</t>
  </si>
  <si>
    <t>Телевидение и радиовещание</t>
  </si>
  <si>
    <t>453 00 00</t>
  </si>
  <si>
    <t>Телерадиокомпании и телеорганизации</t>
  </si>
  <si>
    <t>527</t>
  </si>
  <si>
    <t>453 85 00</t>
  </si>
  <si>
    <t>Мероприятия в сфере телевидения и радиовещания</t>
  </si>
  <si>
    <t>Телерадиостудия "Сполохи"</t>
  </si>
  <si>
    <t>Государственная поддержка в сфере культуры и, кинематографии</t>
  </si>
  <si>
    <t>Мероприятия в сфере культуры и кинематографии</t>
  </si>
  <si>
    <t>526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</si>
  <si>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</si>
  <si>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</si>
  <si>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</si>
  <si>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260 50 00</t>
  </si>
  <si>
    <t>Субсидии в области сельскохозяйственного производства</t>
  </si>
  <si>
    <t>Содержание муниципального имущества</t>
  </si>
  <si>
    <t>092 51 00</t>
  </si>
  <si>
    <t>Субсидии на софинансирование вопросов местного значения по созданию условий для обеспечению сельских поселений услугами торговли</t>
  </si>
  <si>
    <t>092 52 00</t>
  </si>
  <si>
    <t>524</t>
  </si>
  <si>
    <t>Финансовое обеспечение участия в Маргаритинской ярмарке</t>
  </si>
  <si>
    <t>Проведение районной сельскохозяйственной ярмарки</t>
  </si>
  <si>
    <t>528</t>
  </si>
  <si>
    <t>440 02 00</t>
  </si>
  <si>
    <t>Реализация государственных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</si>
  <si>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</si>
  <si>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</si>
  <si>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</si>
  <si>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315 00 00</t>
  </si>
  <si>
    <t>Дорожное хозяйство</t>
  </si>
  <si>
    <t>315 03 00</t>
  </si>
  <si>
    <t>Отдельные мероприятия в области дорожного хозяйства</t>
  </si>
  <si>
    <t>315 03 50</t>
  </si>
  <si>
    <t>Межбюджетные</t>
  </si>
  <si>
    <t>920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</si>
  <si>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</si>
  <si>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Жилищное хозяйство</t>
  </si>
  <si>
    <t>795 13 00</t>
  </si>
  <si>
    <t>Прочие межбюджетные трансферты общего характера</t>
  </si>
  <si>
    <t>Выполнение других обязательств государства</t>
  </si>
  <si>
    <t>092 03 00</t>
  </si>
  <si>
    <t>092 03 02</t>
  </si>
  <si>
    <t>Выполнение обязательств органами местного самоуправления</t>
  </si>
  <si>
    <t>Резервный фонд</t>
  </si>
  <si>
    <t>Содержание муниципальных дорог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</si>
  <si>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</si>
  <si>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</si>
  <si>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795 01 00</t>
  </si>
  <si>
    <t>Муниципальная целевая программа "Развитие общественного пассажирского транспорта на 2012 - 2016 годы"</t>
  </si>
  <si>
    <t>795 16 00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</si>
  <si>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</si>
  <si>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702</t>
  </si>
  <si>
    <t>703</t>
  </si>
  <si>
    <t>Субсидии бюджетным учреждениям на иные цели</t>
  </si>
  <si>
    <t>795 10 00</t>
  </si>
  <si>
    <t>024</t>
  </si>
  <si>
    <t>Мероприятия в сфере культуры</t>
  </si>
  <si>
    <t>551 01 99</t>
  </si>
  <si>
    <t>Софинансирование вопросов местного значения</t>
  </si>
  <si>
    <t>522 29 00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</si>
  <si>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2016 годы"</t>
  </si>
  <si>
    <t>Осуществление государственных полномочий в сфере административных правонарушений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</si>
  <si>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</si>
  <si>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организации и осуществлению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</si>
  <si>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</si>
  <si>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Осуществление государственных полномочий по формированию торгового реестра</t>
  </si>
  <si>
    <t>551 02 06</t>
  </si>
  <si>
    <t>Районная целевая программа "Наследие Кузина на 2012-2014 годы"</t>
  </si>
  <si>
    <t>Приложение № 6</t>
  </si>
  <si>
    <t>ФИНАНСОВЫЙ ОТДЕЛ АДМИНИСТРАЦИИ МО "МЕЗЕНСКИЙ МУНИЦИПАЛЬНЫЙ РАЙОН"</t>
  </si>
  <si>
    <t>028</t>
  </si>
  <si>
    <t>Долгосрочная целевая программа "Пожарная безопасность в населенных пунктах муниципального образования «Мезенский район» на 2011-2013 годы"</t>
  </si>
  <si>
    <t>022</t>
  </si>
  <si>
    <t>Мероприятия в сфере образования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</si>
  <si>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</si>
  <si>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</si>
  <si>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</si>
  <si>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</si>
  <si>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551 01 14</t>
  </si>
  <si>
    <t>Капитальный ремонт и ремонт автомобильных дорог общего пользования населенных пунктов</t>
  </si>
  <si>
    <t>551 01 15</t>
  </si>
  <si>
    <t>551 01 16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</si>
  <si>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</si>
  <si>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Ревизионная комиссия МО "Мезенский муниципальный район"</t>
  </si>
  <si>
    <t>530</t>
  </si>
  <si>
    <t>Капитальный ремонт  ремонт дворовых территорий многоквартирных домов, проездов к дворовым территориям многоквартирных домов населенных пунктов</t>
  </si>
  <si>
    <t>Учреждения по обеспечению хозяйственного обслуживания</t>
  </si>
  <si>
    <t xml:space="preserve">093 00 00 </t>
  </si>
  <si>
    <t>093 99 00</t>
  </si>
  <si>
    <t>Выполнение функций казенными учреждениями</t>
  </si>
  <si>
    <t>701</t>
  </si>
  <si>
    <t>440 9900</t>
  </si>
  <si>
    <t>315 04 00</t>
  </si>
  <si>
    <t>ОТДЕЛ ПО ДЕЛАМ МОЛОДЕЖИ, КУЛЬТУРЕ И ИСКУССТВУ АДМИНИСТРАЦИИ МО "МЕЗЕНСКИЙ РАЙОН"</t>
  </si>
  <si>
    <t>Ведомственная структура расходов бюджета муниципального района на 2013 год</t>
  </si>
  <si>
    <t>520 50 00</t>
  </si>
  <si>
    <t>Реализация основных общеобразовательных программ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</si>
  <si>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</si>
  <si>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</si>
  <si>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</si>
  <si>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представительного органа муниципального района</t>
  </si>
  <si>
    <t>020 00 02</t>
  </si>
  <si>
    <t>Проведение областных соревнований конников на лошадях мезенской породы</t>
  </si>
  <si>
    <t>529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</si>
  <si>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</si>
  <si>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Оздоровление детей</t>
  </si>
  <si>
    <t>432 02 00</t>
  </si>
  <si>
    <t>Оздоровление детей за счет средств областного бюджета</t>
  </si>
  <si>
    <t>432 02 01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</si>
  <si>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</si>
  <si>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551 02 11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</si>
  <si>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</si>
  <si>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</si>
  <si>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</si>
  <si>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</si>
  <si>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 xml:space="preserve">Компенсация расходов на уплату налога на имущество организаций и транспортного налога </t>
  </si>
  <si>
    <t>551 01 19</t>
  </si>
  <si>
    <t>Целевая программа "Развитие туризма МО "Мезенский район" на 2013-2015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</si>
  <si>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</si>
  <si>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</si>
  <si>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Долгосрочная целевая программа "Развитие строительства и капитальный ремонт объектов на территории Мезенского муниципального района на 2013-2015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</si>
  <si>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</si>
  <si>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Муниципальная адресная программа "Проведение капитального ремонта многоквартирных домов на территории МО "Мезенский район на 2011-2013 годы"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</si>
  <si>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</si>
  <si>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</si>
  <si>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</si>
  <si>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</si>
  <si>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315 03 51</t>
  </si>
  <si>
    <t>351 05 00</t>
  </si>
  <si>
    <t>Мероприятия в области 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</si>
  <si>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</si>
  <si>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</si>
  <si>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</si>
  <si>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</si>
  <si>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</si>
  <si>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</si>
  <si>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Муниц.программы</t>
  </si>
  <si>
    <t>Распределение бюджетных ассигнований на 2013 год по разделам и подразделам классификации расходов бюджетов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</si>
  <si>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</si>
  <si>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522 35 00</t>
  </si>
  <si>
    <t>522 24 00</t>
  </si>
  <si>
    <t>551 08 00</t>
  </si>
  <si>
    <t>Средства, передаваемые бюджету муниципального района из бюджетов поселений  муниципального района на осуществление полномочий по решению вопросов местного значения в соответствии с заключенными соглашениями</t>
  </si>
  <si>
    <t>Средства, передаваемые бюджету муниципального района из бюджетов поселений на осуществление полномочий по формированию архивных фондов поселений</t>
  </si>
  <si>
    <t>551 08 02</t>
  </si>
  <si>
    <t>Средства, передаваемые бюджету муниципального района из бюджетов поселений на осуществление полномочий по формированию и исполнению бюджета</t>
  </si>
  <si>
    <t>Средства, передаваемые бюджету муниципального района из бюджетов поселений на осуществление полномочий контрольно-счетного органа поселения</t>
  </si>
  <si>
    <t>551 08 01</t>
  </si>
  <si>
    <t>551 08 03</t>
  </si>
  <si>
    <t>551 08 04</t>
  </si>
  <si>
    <t>Средства, передаваемые бюджету муниципального района из бюджетов поселений на осуществление полномочий по ведению бухгалтерского учета и составления на его основе отчетности</t>
  </si>
  <si>
    <t>Изменения (+/-)</t>
  </si>
  <si>
    <t>Утверждено с учетом изменений</t>
  </si>
  <si>
    <t>5</t>
  </si>
  <si>
    <t>6</t>
  </si>
  <si>
    <t>Приложение № 3</t>
  </si>
  <si>
    <t>Утверждено</t>
  </si>
  <si>
    <t>рублей</t>
  </si>
  <si>
    <t>от 13 декабря 2012 года №  237</t>
  </si>
  <si>
    <t>9</t>
  </si>
  <si>
    <t>Приложение № 4</t>
  </si>
  <si>
    <t>"Приложение № 7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</si>
  <si>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</si>
  <si>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</si>
  <si>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</si>
  <si>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</si>
  <si>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</si>
  <si>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</si>
  <si>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>Создание условий для обеспечения поселений услугами торговли</t>
  </si>
  <si>
    <t>551 01 13</t>
  </si>
  <si>
    <t>Долгосрочная целевая программа Архангельской области "Градостроительное развитие Архангельской области на 2009-2012 годы"</t>
  </si>
  <si>
    <t>522 38 00</t>
  </si>
  <si>
    <t>522 32 00</t>
  </si>
  <si>
    <t>Долгосрочная целевая программа Архангельской области "Обеспечение жильем молодых семей на 2012-2015 годы"</t>
  </si>
  <si>
    <t>Программа "Развитие сферы культуры муниципального образования "Мезенский район" на 2012-2014 годы"</t>
  </si>
  <si>
    <t>018</t>
  </si>
  <si>
    <t>Иные субсидии</t>
  </si>
  <si>
    <t>514 51 00</t>
  </si>
  <si>
    <t>Субсидии на содержание контрольно-счетных органов поселений</t>
  </si>
  <si>
    <t>551 01 68</t>
  </si>
  <si>
    <t xml:space="preserve">Иные субсидии 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</si>
  <si>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</si>
  <si>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</si>
  <si>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Подпрограмма "Градостроительное планирование"</t>
  </si>
  <si>
    <t>795 05 01</t>
  </si>
  <si>
    <t>Субсидии бюджетам поселений на повышение фондов оплаты труда работников культуры</t>
  </si>
  <si>
    <t>551 01 69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</si>
  <si>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</si>
  <si>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551 01 21</t>
  </si>
  <si>
    <t xml:space="preserve"> Межбюджетные трансферты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</si>
  <si>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</si>
  <si>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</si>
  <si>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Ежемесячное денежное вознаграждение за классное руководство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</si>
  <si>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</si>
  <si>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</si>
  <si>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</si>
  <si>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</si>
  <si>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551 01 20</t>
  </si>
  <si>
    <t>Благоустройство</t>
  </si>
  <si>
    <t>Субсидии на проведение мероприятий по благоустройству</t>
  </si>
  <si>
    <t>551 01 56</t>
  </si>
  <si>
    <t>Иные дотации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</si>
  <si>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2013 – 2015 годы"</t>
  </si>
  <si>
    <t>522 04 11</t>
  </si>
  <si>
    <t>Поддержка мер по обеспечению сбалансированности местных бюджетов</t>
  </si>
  <si>
    <t>007</t>
  </si>
  <si>
    <t>Прочие дотации</t>
  </si>
  <si>
    <t>100 11 00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</si>
  <si>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</si>
  <si>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522 17 00</t>
  </si>
  <si>
    <t>Долгосрочная целевая программа Архангельской области "Строительство и приобретение жилья в сельской местности на 2012-2013 годы"</t>
  </si>
  <si>
    <t>Поддержка коммунального хозяйства</t>
  </si>
  <si>
    <t>352 00 00</t>
  </si>
  <si>
    <t>Подготовка объектов жилищно-коммунального хозяйства и топливно-энергетического комплекса к отопительному периоду 2012 – 2013 годов</t>
  </si>
  <si>
    <t>352 09 00</t>
  </si>
  <si>
    <t>"</t>
  </si>
  <si>
    <t>Федеральная целевая программа "Социальное развитие села до 2013 года"</t>
  </si>
  <si>
    <t>522 87 00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</si>
  <si>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</si>
  <si>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Закупка и доставка  муки и лекарственных средств в районы Крайнего Севера и приравненные к ним местности с ограниченными сроками завоза грузов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</si>
  <si>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</si>
  <si>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</si>
  <si>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</si>
  <si>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</si>
  <si>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Поддержка сельскохозяйственных товаропроизводителей на территории Архангельской области</t>
  </si>
  <si>
    <t>260 51 00</t>
  </si>
  <si>
    <t>260 51 08</t>
  </si>
  <si>
    <t>Массовый спорт</t>
  </si>
  <si>
    <t>доп.мест.</t>
  </si>
  <si>
    <t>Субсидия на проведение ремонтов</t>
  </si>
  <si>
    <t>551 01 57</t>
  </si>
  <si>
    <t>Долгосрочная целевая программа Архангельской области "Спорт Беломорья на 2011-2014 годы"</t>
  </si>
  <si>
    <t>522 67 00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</si>
  <si>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</si>
  <si>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522 27 00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</si>
  <si>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Севера" (2013-2015 годы)"</t>
  </si>
  <si>
    <t>440 30 00</t>
  </si>
  <si>
    <t>Снято</t>
  </si>
  <si>
    <t>Подпрограмма "Жилищное строительство"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</si>
  <si>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</si>
  <si>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522 12 00</t>
  </si>
  <si>
    <t>Возмещение части процентной ставки по долгосрочным, среднесрочным и краткосрочным кредитам, взятым малыми формами хозяйствования (фед.бюджет)</t>
  </si>
  <si>
    <t>260 30 00</t>
  </si>
  <si>
    <t>Возмещение части процентной ставки по долгосрочным, среднесрочным и краткосрочным кредитам, взятым малыми формами хозяйствования (обл.бюджет)</t>
  </si>
  <si>
    <t xml:space="preserve">от 10 июня 2013 года №282 </t>
  </si>
  <si>
    <t xml:space="preserve">от 21 февраля 2013 года №282 </t>
  </si>
  <si>
    <t>Обустройство пешеходных ледовых переправ</t>
  </si>
  <si>
    <t>Строительство, реконструкция, капитальный ремонт, ремонт и содержание дорог общего пользования местного значения находящихся в собственности муниципального района</t>
  </si>
  <si>
    <t>Строительство, реконструкция, капитальный ремонт и содержание автомобильных дорог общего пользования местного значения, включая разработку проектной документации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</si>
</sst>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</numFmts>
  <fonts count="52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righ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ill="1" applyBorder="1" applyAlignment="1">
      <alignment horizontal="right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10" fillId="33" borderId="37" xfId="0" applyNumberFormat="1" applyFont="1" applyFill="1" applyBorder="1" applyAlignment="1">
      <alignment horizontal="right" vertical="center"/>
    </xf>
    <xf numFmtId="183" fontId="10" fillId="33" borderId="36" xfId="0" applyNumberFormat="1" applyFon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189" fontId="0" fillId="0" borderId="0" xfId="60" applyNumberFormat="1" applyFont="1" applyAlignment="1">
      <alignment/>
    </xf>
    <xf numFmtId="43" fontId="0" fillId="0" borderId="0" xfId="60" applyFont="1" applyAlignment="1">
      <alignment/>
    </xf>
    <xf numFmtId="43" fontId="0" fillId="0" borderId="0" xfId="60" applyFont="1" applyAlignment="1">
      <alignment/>
    </xf>
    <xf numFmtId="0" fontId="1" fillId="0" borderId="39" xfId="0" applyFont="1" applyFill="1" applyBorder="1" applyAlignment="1">
      <alignment horizontal="left" vertical="center" wrapText="1"/>
    </xf>
    <xf numFmtId="185" fontId="0" fillId="0" borderId="0" xfId="0" applyNumberFormat="1" applyAlignment="1">
      <alignment/>
    </xf>
    <xf numFmtId="179" fontId="0" fillId="0" borderId="0" xfId="0" applyNumberFormat="1" applyFill="1" applyAlignment="1">
      <alignment horizontal="center" vertical="center"/>
    </xf>
    <xf numFmtId="183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83" fontId="10" fillId="33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left" vertical="center" wrapText="1"/>
    </xf>
    <xf numFmtId="183" fontId="0" fillId="0" borderId="37" xfId="0" applyNumberFormat="1" applyFont="1" applyFill="1" applyBorder="1" applyAlignment="1">
      <alignment horizontal="right" vertical="center"/>
    </xf>
    <xf numFmtId="183" fontId="5" fillId="0" borderId="37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83" fontId="10" fillId="0" borderId="37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9.00390625" style="66" customWidth="1"/>
    <col min="2" max="2" width="5.125" style="68" customWidth="1"/>
    <col min="3" max="3" width="5.25390625" style="68" customWidth="1"/>
    <col min="4" max="4" width="19.125" style="27" customWidth="1"/>
    <col min="5" max="5" width="18.125" style="30" customWidth="1"/>
    <col min="6" max="6" width="19.375" style="30" customWidth="1"/>
    <col min="7" max="16384" width="9.125" style="30" customWidth="1"/>
  </cols>
  <sheetData>
    <row r="1" spans="2:6" ht="12.75">
      <c r="B1" s="67"/>
      <c r="C1" s="67"/>
      <c r="D1" s="83"/>
      <c r="F1" s="83" t="s">
        <v>385</v>
      </c>
    </row>
    <row r="2" spans="2:6" ht="12.75">
      <c r="B2" s="67"/>
      <c r="C2" s="67"/>
      <c r="D2" s="80"/>
      <c r="F2" s="80" t="s">
        <v>167</v>
      </c>
    </row>
    <row r="3" spans="2:6" ht="12.75">
      <c r="B3" s="67"/>
      <c r="C3" s="67"/>
      <c r="D3" s="80"/>
      <c r="F3" s="80" t="s">
        <v>168</v>
      </c>
    </row>
    <row r="4" spans="2:6" ht="12.75">
      <c r="B4" s="67"/>
      <c r="C4" s="67"/>
      <c r="D4" s="83"/>
      <c r="F4" s="83" t="s">
        <v>475</v>
      </c>
    </row>
    <row r="5" spans="2:6" ht="12.75">
      <c r="B5" s="67"/>
      <c r="C5" s="67"/>
      <c r="D5" s="83"/>
      <c r="F5" s="27"/>
    </row>
    <row r="6" spans="2:6" ht="12.75">
      <c r="B6" s="67"/>
      <c r="C6" s="67"/>
      <c r="D6" s="83"/>
      <c r="F6" s="83" t="s">
        <v>298</v>
      </c>
    </row>
    <row r="7" spans="2:6" ht="12.75">
      <c r="B7" s="67"/>
      <c r="C7" s="67"/>
      <c r="D7" s="83"/>
      <c r="F7" s="80" t="s">
        <v>167</v>
      </c>
    </row>
    <row r="8" spans="2:6" ht="12.75">
      <c r="B8" s="67"/>
      <c r="C8" s="67"/>
      <c r="D8" s="83"/>
      <c r="F8" s="80" t="s">
        <v>168</v>
      </c>
    </row>
    <row r="9" spans="2:6" ht="12.75">
      <c r="B9" s="67"/>
      <c r="C9" s="67"/>
      <c r="D9" s="83"/>
      <c r="F9" s="83" t="s">
        <v>388</v>
      </c>
    </row>
    <row r="10" spans="2:4" ht="12.75">
      <c r="B10" s="67"/>
      <c r="C10" s="67"/>
      <c r="D10" s="83"/>
    </row>
    <row r="11" spans="1:6" ht="38.25" customHeight="1">
      <c r="A11" s="148" t="s">
        <v>367</v>
      </c>
      <c r="B11" s="148"/>
      <c r="C11" s="148"/>
      <c r="D11" s="148"/>
      <c r="E11" s="149"/>
      <c r="F11" s="149"/>
    </row>
    <row r="12" spans="4:6" ht="12.75">
      <c r="D12" s="80"/>
      <c r="F12" s="80" t="s">
        <v>387</v>
      </c>
    </row>
    <row r="13" spans="1:6" ht="23.25" customHeight="1">
      <c r="A13" s="69" t="s">
        <v>38</v>
      </c>
      <c r="B13" s="70" t="s">
        <v>39</v>
      </c>
      <c r="C13" s="71" t="s">
        <v>40</v>
      </c>
      <c r="D13" s="105" t="s">
        <v>386</v>
      </c>
      <c r="E13" s="105" t="s">
        <v>381</v>
      </c>
      <c r="F13" s="105" t="s">
        <v>382</v>
      </c>
    </row>
    <row r="14" spans="1:6" ht="10.5" customHeight="1">
      <c r="A14" s="12">
        <v>1</v>
      </c>
      <c r="B14" s="32">
        <v>2</v>
      </c>
      <c r="C14" s="72">
        <v>3</v>
      </c>
      <c r="D14" s="31" t="s">
        <v>177</v>
      </c>
      <c r="E14" s="31" t="s">
        <v>383</v>
      </c>
      <c r="F14" s="31" t="s">
        <v>384</v>
      </c>
    </row>
    <row r="15" spans="1:6" ht="12.75">
      <c r="A15" s="73"/>
      <c r="B15" s="74"/>
      <c r="C15" s="75"/>
      <c r="D15" s="26"/>
      <c r="E15" s="26"/>
      <c r="F15" s="26"/>
    </row>
    <row r="16" spans="1:6" ht="12.75">
      <c r="A16" s="4" t="s">
        <v>90</v>
      </c>
      <c r="B16" s="18" t="s">
        <v>59</v>
      </c>
      <c r="C16" s="1"/>
      <c r="D16" s="109">
        <f>SUM(D17:D23)</f>
        <v>61889540.41</v>
      </c>
      <c r="E16" s="109">
        <f>SUM(E17:E23)</f>
        <v>-864055.78</v>
      </c>
      <c r="F16" s="109">
        <f>SUM(F17:F23)</f>
        <v>61025484.63</v>
      </c>
    </row>
    <row r="17" spans="1:6" ht="25.5">
      <c r="A17" s="15" t="s">
        <v>178</v>
      </c>
      <c r="B17" s="1" t="s">
        <v>59</v>
      </c>
      <c r="C17" s="1" t="s">
        <v>55</v>
      </c>
      <c r="D17" s="111">
        <f>+ведомств!G233</f>
        <v>1785452</v>
      </c>
      <c r="E17" s="111">
        <f>+ведомств!H233</f>
        <v>0</v>
      </c>
      <c r="F17" s="111">
        <f>SUM(D17:E17)</f>
        <v>1785452</v>
      </c>
    </row>
    <row r="18" spans="1:6" ht="38.25">
      <c r="A18" s="2" t="s">
        <v>96</v>
      </c>
      <c r="B18" s="1" t="s">
        <v>59</v>
      </c>
      <c r="C18" s="1" t="s">
        <v>41</v>
      </c>
      <c r="D18" s="111">
        <f>+ведомств!G238</f>
        <v>1105607</v>
      </c>
      <c r="E18" s="111">
        <f>+ведомств!H238</f>
        <v>0</v>
      </c>
      <c r="F18" s="111">
        <f aca="true" t="shared" si="0" ref="F18:F23">SUM(D18:E18)</f>
        <v>1105607</v>
      </c>
    </row>
    <row r="19" spans="1:6" ht="38.25">
      <c r="A19" s="15" t="s">
        <v>11</v>
      </c>
      <c r="B19" s="1" t="s">
        <v>59</v>
      </c>
      <c r="C19" s="1" t="s">
        <v>54</v>
      </c>
      <c r="D19" s="111">
        <f>+ведомств!G245+ведомств!I122</f>
        <v>28688366.46</v>
      </c>
      <c r="E19" s="111">
        <f>+ведомств!H245+ведомств!H122</f>
        <v>3053</v>
      </c>
      <c r="F19" s="111">
        <f t="shared" si="0"/>
        <v>28691419.46</v>
      </c>
    </row>
    <row r="20" spans="1:6" ht="36.75" customHeight="1">
      <c r="A20" s="7" t="s">
        <v>97</v>
      </c>
      <c r="B20" s="1" t="s">
        <v>59</v>
      </c>
      <c r="C20" s="1" t="s">
        <v>17</v>
      </c>
      <c r="D20" s="111">
        <f>+ведомств!G270</f>
        <v>12373720</v>
      </c>
      <c r="E20" s="111">
        <f>+ведомств!H270</f>
        <v>304</v>
      </c>
      <c r="F20" s="111">
        <f t="shared" si="0"/>
        <v>12374024</v>
      </c>
    </row>
    <row r="21" spans="1:6" ht="15" customHeight="1">
      <c r="A21" s="5" t="s">
        <v>327</v>
      </c>
      <c r="B21" s="1" t="s">
        <v>59</v>
      </c>
      <c r="C21" s="1" t="s">
        <v>16</v>
      </c>
      <c r="D21" s="111">
        <f>SUM(ведомств!G288)</f>
        <v>1000000</v>
      </c>
      <c r="E21" s="111">
        <f>SUM(ведомств!H288)</f>
        <v>-300000</v>
      </c>
      <c r="F21" s="111">
        <f t="shared" si="0"/>
        <v>700000</v>
      </c>
    </row>
    <row r="22" spans="1:6" ht="12.75">
      <c r="A22" s="2" t="s">
        <v>72</v>
      </c>
      <c r="B22" s="1" t="s">
        <v>59</v>
      </c>
      <c r="C22" s="1" t="s">
        <v>58</v>
      </c>
      <c r="D22" s="111">
        <f>+ведомств!G294</f>
        <v>200000</v>
      </c>
      <c r="E22" s="111">
        <f>+ведомств!H294</f>
        <v>-100000</v>
      </c>
      <c r="F22" s="111">
        <f t="shared" si="0"/>
        <v>100000</v>
      </c>
    </row>
    <row r="23" spans="1:6" ht="12.75">
      <c r="A23" s="2" t="s">
        <v>12</v>
      </c>
      <c r="B23" s="1" t="s">
        <v>59</v>
      </c>
      <c r="C23" s="1" t="s">
        <v>188</v>
      </c>
      <c r="D23" s="111">
        <f>+ведомств!G299+ведомств!G20</f>
        <v>16736394.95</v>
      </c>
      <c r="E23" s="111">
        <f>+ведомств!H299+ведомств!H20</f>
        <v>-467412.78</v>
      </c>
      <c r="F23" s="111">
        <f t="shared" si="0"/>
        <v>16268982.17</v>
      </c>
    </row>
    <row r="24" spans="1:6" ht="12.75">
      <c r="A24" s="76"/>
      <c r="B24" s="49"/>
      <c r="C24" s="49"/>
      <c r="D24" s="111"/>
      <c r="E24" s="111"/>
      <c r="F24" s="111"/>
    </row>
    <row r="25" spans="1:6" ht="12.75">
      <c r="A25" s="6" t="s">
        <v>207</v>
      </c>
      <c r="B25" s="18" t="s">
        <v>55</v>
      </c>
      <c r="C25" s="1"/>
      <c r="D25" s="109">
        <f>+D26</f>
        <v>1224300</v>
      </c>
      <c r="E25" s="109">
        <f>+E26</f>
        <v>0</v>
      </c>
      <c r="F25" s="109">
        <f>+F26</f>
        <v>1224300</v>
      </c>
    </row>
    <row r="26" spans="1:6" ht="12.75">
      <c r="A26" s="5" t="s">
        <v>208</v>
      </c>
      <c r="B26" s="1" t="s">
        <v>55</v>
      </c>
      <c r="C26" s="1" t="s">
        <v>41</v>
      </c>
      <c r="D26" s="111">
        <f>+ведомств!G325</f>
        <v>1224300</v>
      </c>
      <c r="E26" s="111">
        <f>+ведомств!H325</f>
        <v>0</v>
      </c>
      <c r="F26" s="111">
        <f>SUM(D26:E26)</f>
        <v>1224300</v>
      </c>
    </row>
    <row r="27" spans="1:6" ht="12.75">
      <c r="A27" s="76"/>
      <c r="B27" s="49"/>
      <c r="C27" s="49"/>
      <c r="D27" s="111"/>
      <c r="E27" s="111"/>
      <c r="F27" s="111"/>
    </row>
    <row r="28" spans="1:6" ht="12.75" customHeight="1">
      <c r="A28" s="6" t="s">
        <v>82</v>
      </c>
      <c r="B28" s="18" t="s">
        <v>41</v>
      </c>
      <c r="C28" s="1"/>
      <c r="D28" s="109">
        <f>SUM(D29:D30)</f>
        <v>300000</v>
      </c>
      <c r="E28" s="109">
        <f>SUM(E29:E30)</f>
        <v>-150000</v>
      </c>
      <c r="F28" s="109">
        <f>SUM(F29:F30)</f>
        <v>150000</v>
      </c>
    </row>
    <row r="29" spans="1:6" ht="34.5" customHeight="1">
      <c r="A29" s="7" t="s">
        <v>179</v>
      </c>
      <c r="B29" s="1" t="s">
        <v>41</v>
      </c>
      <c r="C29" s="1" t="s">
        <v>52</v>
      </c>
      <c r="D29" s="111">
        <f>+ведомств!G331</f>
        <v>100000</v>
      </c>
      <c r="E29" s="111">
        <f>+ведомств!H331</f>
        <v>-50000</v>
      </c>
      <c r="F29" s="111">
        <f>SUM(D29:E29)</f>
        <v>50000</v>
      </c>
    </row>
    <row r="30" spans="1:6" ht="12.75">
      <c r="A30" s="16" t="s">
        <v>123</v>
      </c>
      <c r="B30" s="1" t="s">
        <v>41</v>
      </c>
      <c r="C30" s="1" t="s">
        <v>88</v>
      </c>
      <c r="D30" s="111">
        <f>+ведомств!G336</f>
        <v>200000</v>
      </c>
      <c r="E30" s="111">
        <f>+ведомств!H336</f>
        <v>-100000</v>
      </c>
      <c r="F30" s="111">
        <f>SUM(D30:E30)</f>
        <v>100000</v>
      </c>
    </row>
    <row r="31" spans="1:6" ht="12.75">
      <c r="A31" s="76"/>
      <c r="B31" s="49"/>
      <c r="C31" s="49"/>
      <c r="D31" s="111"/>
      <c r="E31" s="111"/>
      <c r="F31" s="111"/>
    </row>
    <row r="32" spans="1:6" ht="12.75">
      <c r="A32" s="4" t="s">
        <v>53</v>
      </c>
      <c r="B32" s="77" t="s">
        <v>54</v>
      </c>
      <c r="C32" s="3"/>
      <c r="D32" s="109">
        <f>SUM(D33:D36)</f>
        <v>17648742.009999998</v>
      </c>
      <c r="E32" s="109">
        <f>SUM(E33:E36)</f>
        <v>5372960.35</v>
      </c>
      <c r="F32" s="109">
        <f>SUM(F33:F36)</f>
        <v>23021702.36</v>
      </c>
    </row>
    <row r="33" spans="1:6" ht="12.75">
      <c r="A33" s="2" t="s">
        <v>126</v>
      </c>
      <c r="B33" s="1" t="s">
        <v>54</v>
      </c>
      <c r="C33" s="1" t="s">
        <v>57</v>
      </c>
      <c r="D33" s="111">
        <f>+ведомств!G342+ведомств!G26</f>
        <v>578502</v>
      </c>
      <c r="E33" s="111">
        <f>+ведомств!H342+ведомств!H26</f>
        <v>120960.35</v>
      </c>
      <c r="F33" s="111">
        <f>SUM(D33:E33)</f>
        <v>699462.35</v>
      </c>
    </row>
    <row r="34" spans="1:6" ht="12.75">
      <c r="A34" s="2" t="s">
        <v>74</v>
      </c>
      <c r="B34" s="1" t="s">
        <v>54</v>
      </c>
      <c r="C34" s="1" t="s">
        <v>84</v>
      </c>
      <c r="D34" s="111">
        <f>+ведомств!G356</f>
        <v>4250000</v>
      </c>
      <c r="E34" s="111">
        <f>+ведомств!H356</f>
        <v>5176000</v>
      </c>
      <c r="F34" s="111">
        <f>SUM(D34:E34)</f>
        <v>9426000</v>
      </c>
    </row>
    <row r="35" spans="1:6" ht="12.75">
      <c r="A35" s="2" t="s">
        <v>257</v>
      </c>
      <c r="B35" s="1" t="s">
        <v>54</v>
      </c>
      <c r="C35" s="1" t="s">
        <v>52</v>
      </c>
      <c r="D35" s="111">
        <f>+ведомств!G373</f>
        <v>10125980</v>
      </c>
      <c r="E35" s="111">
        <f>+ведомств!H373</f>
        <v>0</v>
      </c>
      <c r="F35" s="111">
        <f>SUM(D35:E35)</f>
        <v>10125980</v>
      </c>
    </row>
    <row r="36" spans="1:6" ht="12.75">
      <c r="A36" s="2" t="s">
        <v>127</v>
      </c>
      <c r="B36" s="1" t="s">
        <v>54</v>
      </c>
      <c r="C36" s="1" t="s">
        <v>89</v>
      </c>
      <c r="D36" s="111">
        <f>SUM(ведомств!G393)</f>
        <v>2694260.01</v>
      </c>
      <c r="E36" s="111">
        <f>SUM(ведомств!H393)</f>
        <v>76000</v>
      </c>
      <c r="F36" s="111">
        <f>SUM(D36:E36)</f>
        <v>2770260.01</v>
      </c>
    </row>
    <row r="37" spans="1:6" ht="12.75">
      <c r="A37" s="76"/>
      <c r="B37" s="49"/>
      <c r="C37" s="49"/>
      <c r="D37" s="111"/>
      <c r="E37" s="111"/>
      <c r="F37" s="111"/>
    </row>
    <row r="38" spans="1:6" ht="12.75">
      <c r="A38" s="82" t="s">
        <v>184</v>
      </c>
      <c r="B38" s="77" t="s">
        <v>57</v>
      </c>
      <c r="C38" s="49"/>
      <c r="D38" s="109">
        <f>SUM(D39:D41)</f>
        <v>2451170</v>
      </c>
      <c r="E38" s="109">
        <f>SUM(E39:E41)</f>
        <v>20679708.37</v>
      </c>
      <c r="F38" s="109">
        <f>SUM(F39:F41)</f>
        <v>23130878.37</v>
      </c>
    </row>
    <row r="39" spans="1:6" ht="12.75">
      <c r="A39" s="76" t="s">
        <v>266</v>
      </c>
      <c r="B39" s="1" t="s">
        <v>57</v>
      </c>
      <c r="C39" s="1" t="s">
        <v>59</v>
      </c>
      <c r="D39" s="111">
        <f>+ведомств!G417</f>
        <v>100000</v>
      </c>
      <c r="E39" s="111">
        <f>+ведомств!H417</f>
        <v>-96000</v>
      </c>
      <c r="F39" s="111">
        <f>SUM(D39:E39)</f>
        <v>4000</v>
      </c>
    </row>
    <row r="40" spans="1:6" ht="12.75">
      <c r="A40" s="76" t="s">
        <v>185</v>
      </c>
      <c r="B40" s="1" t="s">
        <v>57</v>
      </c>
      <c r="C40" s="1" t="s">
        <v>55</v>
      </c>
      <c r="D40" s="111">
        <f>+ведомств!G425</f>
        <v>2311170</v>
      </c>
      <c r="E40" s="111">
        <f>+ведомств!H425</f>
        <v>20775708.37</v>
      </c>
      <c r="F40" s="111">
        <f>SUM(D40:E40)</f>
        <v>23086878.37</v>
      </c>
    </row>
    <row r="41" spans="1:6" ht="12.75">
      <c r="A41" s="76" t="s">
        <v>428</v>
      </c>
      <c r="B41" s="1" t="s">
        <v>57</v>
      </c>
      <c r="C41" s="1" t="s">
        <v>41</v>
      </c>
      <c r="D41" s="111">
        <f>ведомств!G450</f>
        <v>40000</v>
      </c>
      <c r="E41" s="111">
        <f>ведомств!H450</f>
        <v>0</v>
      </c>
      <c r="F41" s="111">
        <f>SUM(D41:E41)</f>
        <v>40000</v>
      </c>
    </row>
    <row r="42" spans="1:6" ht="12.75">
      <c r="A42" s="76"/>
      <c r="B42" s="1"/>
      <c r="C42" s="1"/>
      <c r="D42" s="111"/>
      <c r="E42" s="111"/>
      <c r="F42" s="111"/>
    </row>
    <row r="43" spans="1:6" ht="12.75">
      <c r="A43" s="4" t="s">
        <v>360</v>
      </c>
      <c r="B43" s="18" t="s">
        <v>17</v>
      </c>
      <c r="C43" s="1"/>
      <c r="D43" s="109">
        <f>SUM(ведомств!G456)</f>
        <v>50000</v>
      </c>
      <c r="E43" s="109">
        <f>SUM(ведомств!H456)</f>
        <v>0</v>
      </c>
      <c r="F43" s="109">
        <f>SUM(ведомств!I456)</f>
        <v>50000</v>
      </c>
    </row>
    <row r="44" spans="1:6" ht="25.5">
      <c r="A44" s="2" t="s">
        <v>361</v>
      </c>
      <c r="B44" s="1" t="s">
        <v>17</v>
      </c>
      <c r="C44" s="1" t="s">
        <v>41</v>
      </c>
      <c r="D44" s="111">
        <f>SUM(ведомств!G457)</f>
        <v>50000</v>
      </c>
      <c r="E44" s="111">
        <f>SUM(ведомств!H457)</f>
        <v>0</v>
      </c>
      <c r="F44" s="111">
        <f>SUM(D44:E44)</f>
        <v>50000</v>
      </c>
    </row>
    <row r="45" spans="1:6" ht="12.75">
      <c r="A45" s="76"/>
      <c r="B45" s="1"/>
      <c r="C45" s="1"/>
      <c r="D45" s="111"/>
      <c r="E45" s="111"/>
      <c r="F45" s="111"/>
    </row>
    <row r="46" spans="1:6" ht="12.75">
      <c r="A46" s="4" t="s">
        <v>77</v>
      </c>
      <c r="B46" s="19" t="s">
        <v>16</v>
      </c>
      <c r="C46" s="1"/>
      <c r="D46" s="109">
        <f>SUM(D47:D50)</f>
        <v>327709003.18</v>
      </c>
      <c r="E46" s="109">
        <f>SUM(E47:E50)</f>
        <v>14421585.780000001</v>
      </c>
      <c r="F46" s="109">
        <f>SUM(F47:F50)</f>
        <v>342130588.96000004</v>
      </c>
    </row>
    <row r="47" spans="1:6" ht="12.75">
      <c r="A47" s="78" t="s">
        <v>32</v>
      </c>
      <c r="B47" s="79" t="s">
        <v>16</v>
      </c>
      <c r="C47" s="79" t="s">
        <v>59</v>
      </c>
      <c r="D47" s="111">
        <f>SUM(ведомств!G127+ведомств!G463)</f>
        <v>50300513</v>
      </c>
      <c r="E47" s="111">
        <f>SUM(ведомств!H127+ведомств!H463)</f>
        <v>-2300347</v>
      </c>
      <c r="F47" s="111">
        <f>SUM(D47:E47)</f>
        <v>48000166</v>
      </c>
    </row>
    <row r="48" spans="1:6" ht="12.75">
      <c r="A48" s="2" t="s">
        <v>78</v>
      </c>
      <c r="B48" s="1" t="s">
        <v>16</v>
      </c>
      <c r="C48" s="1" t="s">
        <v>55</v>
      </c>
      <c r="D48" s="111">
        <f>+ведомств!G141+ведомств!G33+ведомств!G474</f>
        <v>263257819.18</v>
      </c>
      <c r="E48" s="111">
        <f>+ведомств!H141+ведомств!H33+ведомств!H474</f>
        <v>16621336.780000001</v>
      </c>
      <c r="F48" s="111">
        <f>SUM(D48:E48)</f>
        <v>279879155.96000004</v>
      </c>
    </row>
    <row r="49" spans="1:6" ht="12.75">
      <c r="A49" s="2" t="s">
        <v>102</v>
      </c>
      <c r="B49" s="1" t="s">
        <v>16</v>
      </c>
      <c r="C49" s="1" t="s">
        <v>16</v>
      </c>
      <c r="D49" s="111">
        <f>+ведомств!G50+ведомств!G175</f>
        <v>3946162</v>
      </c>
      <c r="E49" s="111">
        <f>+ведомств!H50+ведомств!H175</f>
        <v>0</v>
      </c>
      <c r="F49" s="111">
        <f>SUM(D49:E49)</f>
        <v>3946162</v>
      </c>
    </row>
    <row r="50" spans="1:6" ht="12.75">
      <c r="A50" s="2" t="s">
        <v>108</v>
      </c>
      <c r="B50" s="1" t="s">
        <v>16</v>
      </c>
      <c r="C50" s="1" t="s">
        <v>52</v>
      </c>
      <c r="D50" s="111">
        <f>+ведомств!G191</f>
        <v>10204509</v>
      </c>
      <c r="E50" s="111">
        <f>+ведомств!H191</f>
        <v>100596</v>
      </c>
      <c r="F50" s="111">
        <f>SUM(D50:E50)</f>
        <v>10305105</v>
      </c>
    </row>
    <row r="51" spans="1:6" ht="12.75">
      <c r="A51" s="76"/>
      <c r="B51" s="49"/>
      <c r="C51" s="49"/>
      <c r="D51" s="111"/>
      <c r="E51" s="111"/>
      <c r="F51" s="111"/>
    </row>
    <row r="52" spans="1:6" ht="13.5" customHeight="1">
      <c r="A52" s="4" t="s">
        <v>204</v>
      </c>
      <c r="B52" s="19" t="s">
        <v>84</v>
      </c>
      <c r="C52" s="1"/>
      <c r="D52" s="109">
        <f>SUM(D53:D54)</f>
        <v>25434925.05</v>
      </c>
      <c r="E52" s="109">
        <f>SUM(E53:E54)</f>
        <v>13616115.76</v>
      </c>
      <c r="F52" s="109">
        <f>SUM(F53:F54)</f>
        <v>39051040.809999995</v>
      </c>
    </row>
    <row r="53" spans="1:6" ht="12.75">
      <c r="A53" s="2" t="s">
        <v>85</v>
      </c>
      <c r="B53" s="1" t="s">
        <v>84</v>
      </c>
      <c r="C53" s="1" t="s">
        <v>59</v>
      </c>
      <c r="D53" s="111">
        <f>+ведомств!G56+ведомств!G485</f>
        <v>21029259.05</v>
      </c>
      <c r="E53" s="111">
        <f>+ведомств!H56+ведомств!H485</f>
        <v>13600985.14</v>
      </c>
      <c r="F53" s="111">
        <f>SUM(D53:E53)</f>
        <v>34630244.19</v>
      </c>
    </row>
    <row r="54" spans="1:6" ht="12.75">
      <c r="A54" s="2" t="s">
        <v>211</v>
      </c>
      <c r="B54" s="1" t="s">
        <v>84</v>
      </c>
      <c r="C54" s="1" t="s">
        <v>54</v>
      </c>
      <c r="D54" s="111">
        <f>+ведомств!G84</f>
        <v>4405666</v>
      </c>
      <c r="E54" s="111">
        <f>+ведомств!H84</f>
        <v>15130.619999999999</v>
      </c>
      <c r="F54" s="111">
        <f>SUM(D54:E54)</f>
        <v>4420796.62</v>
      </c>
    </row>
    <row r="55" spans="1:6" ht="12.75">
      <c r="A55" s="76"/>
      <c r="B55" s="49"/>
      <c r="C55" s="49"/>
      <c r="D55" s="111"/>
      <c r="E55" s="111"/>
      <c r="F55" s="111"/>
    </row>
    <row r="56" spans="1:6" ht="12.75">
      <c r="A56" s="4" t="s">
        <v>22</v>
      </c>
      <c r="B56" s="19" t="s">
        <v>88</v>
      </c>
      <c r="C56" s="1"/>
      <c r="D56" s="109">
        <f>SUM(D57:D60)</f>
        <v>24612851</v>
      </c>
      <c r="E56" s="109">
        <f>SUM(E57:E60)</f>
        <v>0</v>
      </c>
      <c r="F56" s="109">
        <f>SUM(F57:F60)</f>
        <v>24612851</v>
      </c>
    </row>
    <row r="57" spans="1:6" ht="12.75">
      <c r="A57" s="2" t="s">
        <v>23</v>
      </c>
      <c r="B57" s="1" t="s">
        <v>88</v>
      </c>
      <c r="C57" s="1" t="s">
        <v>59</v>
      </c>
      <c r="D57" s="111">
        <f>+ведомств!G500</f>
        <v>2700000</v>
      </c>
      <c r="E57" s="111">
        <f>+ведомств!H500</f>
        <v>0</v>
      </c>
      <c r="F57" s="111">
        <f>SUM(D57:E57)</f>
        <v>2700000</v>
      </c>
    </row>
    <row r="58" spans="1:6" ht="12.75">
      <c r="A58" s="2" t="s">
        <v>27</v>
      </c>
      <c r="B58" s="1" t="s">
        <v>88</v>
      </c>
      <c r="C58" s="1" t="s">
        <v>41</v>
      </c>
      <c r="D58" s="111">
        <f>+ведомств!G90+ведомств!G505</f>
        <v>6711151</v>
      </c>
      <c r="E58" s="111">
        <f>+ведомств!H90+ведомств!H505</f>
        <v>0</v>
      </c>
      <c r="F58" s="111">
        <f>SUM(D58:E58)</f>
        <v>6711151</v>
      </c>
    </row>
    <row r="59" spans="1:6" ht="12.75">
      <c r="A59" s="7" t="s">
        <v>64</v>
      </c>
      <c r="B59" s="1" t="s">
        <v>88</v>
      </c>
      <c r="C59" s="1" t="s">
        <v>54</v>
      </c>
      <c r="D59" s="111">
        <f>+ведомств!G201+ведомств!G527</f>
        <v>12365000</v>
      </c>
      <c r="E59" s="111">
        <f>+ведомств!H201+ведомств!H527</f>
        <v>0</v>
      </c>
      <c r="F59" s="111">
        <f>SUM(D59:E59)</f>
        <v>12365000</v>
      </c>
    </row>
    <row r="60" spans="1:6" ht="12.75">
      <c r="A60" s="7" t="s">
        <v>256</v>
      </c>
      <c r="B60" s="1" t="s">
        <v>88</v>
      </c>
      <c r="C60" s="1" t="s">
        <v>17</v>
      </c>
      <c r="D60" s="111">
        <f>+ведомств!G211+ведомств!G539</f>
        <v>2836700</v>
      </c>
      <c r="E60" s="111">
        <f>+ведомств!H211+ведомств!H539</f>
        <v>0</v>
      </c>
      <c r="F60" s="111">
        <f>SUM(D60:E60)</f>
        <v>2836700</v>
      </c>
    </row>
    <row r="61" spans="1:6" ht="12.75">
      <c r="A61" s="76"/>
      <c r="B61" s="49"/>
      <c r="C61" s="49"/>
      <c r="D61" s="111"/>
      <c r="E61" s="111"/>
      <c r="F61" s="111"/>
    </row>
    <row r="62" spans="1:6" ht="12.75">
      <c r="A62" s="4" t="s">
        <v>18</v>
      </c>
      <c r="B62" s="19" t="s">
        <v>58</v>
      </c>
      <c r="C62" s="1"/>
      <c r="D62" s="109">
        <f>SUM(D63:D63)</f>
        <v>1199200</v>
      </c>
      <c r="E62" s="109">
        <f>SUM(E63:E64)</f>
        <v>849000</v>
      </c>
      <c r="F62" s="109">
        <f>SUM(F63:F64)</f>
        <v>2048200</v>
      </c>
    </row>
    <row r="63" spans="1:6" ht="12.75">
      <c r="A63" s="7" t="s">
        <v>191</v>
      </c>
      <c r="B63" s="1" t="s">
        <v>58</v>
      </c>
      <c r="C63" s="1" t="s">
        <v>59</v>
      </c>
      <c r="D63" s="111">
        <f>SUM(ведомств!G106+ведомств!G221)</f>
        <v>1199200</v>
      </c>
      <c r="E63" s="111">
        <f>SUM(ведомств!H106+ведомств!H221)</f>
        <v>5000</v>
      </c>
      <c r="F63" s="111">
        <f>SUM(D63:E63)</f>
        <v>1204200</v>
      </c>
    </row>
    <row r="64" spans="1:6" ht="12.75">
      <c r="A64" s="81" t="s">
        <v>457</v>
      </c>
      <c r="B64" s="47" t="s">
        <v>58</v>
      </c>
      <c r="C64" s="47" t="s">
        <v>55</v>
      </c>
      <c r="D64" s="116">
        <f>SUM(ведомств!G226)</f>
        <v>0</v>
      </c>
      <c r="E64" s="116">
        <f>SUM(ведомств!H226)</f>
        <v>844000</v>
      </c>
      <c r="F64" s="111">
        <f>SUM(D64:E64)</f>
        <v>844000</v>
      </c>
    </row>
    <row r="65" spans="1:6" ht="12.75">
      <c r="A65" s="81"/>
      <c r="B65" s="47"/>
      <c r="C65" s="47"/>
      <c r="D65" s="116"/>
      <c r="E65" s="116"/>
      <c r="F65" s="116"/>
    </row>
    <row r="66" spans="1:6" ht="12.75">
      <c r="A66" s="4" t="s">
        <v>229</v>
      </c>
      <c r="B66" s="19" t="s">
        <v>89</v>
      </c>
      <c r="C66" s="1"/>
      <c r="D66" s="109">
        <f>SUM(D67)</f>
        <v>297600</v>
      </c>
      <c r="E66" s="109">
        <f>SUM(E67)</f>
        <v>0</v>
      </c>
      <c r="F66" s="109">
        <f>SUM(F67)</f>
        <v>297600</v>
      </c>
    </row>
    <row r="67" spans="1:6" ht="12.75">
      <c r="A67" s="81" t="s">
        <v>230</v>
      </c>
      <c r="B67" s="47" t="s">
        <v>89</v>
      </c>
      <c r="C67" s="47" t="s">
        <v>59</v>
      </c>
      <c r="D67" s="116">
        <f>+ведомств!G115</f>
        <v>297600</v>
      </c>
      <c r="E67" s="116">
        <f>+ведомств!H115</f>
        <v>0</v>
      </c>
      <c r="F67" s="111">
        <f>SUM(D67:E67)</f>
        <v>297600</v>
      </c>
    </row>
    <row r="68" spans="1:6" ht="12.75">
      <c r="A68" s="81"/>
      <c r="B68" s="47"/>
      <c r="C68" s="47"/>
      <c r="D68" s="116"/>
      <c r="E68" s="116"/>
      <c r="F68" s="116"/>
    </row>
    <row r="69" spans="1:6" ht="12.75">
      <c r="A69" s="4" t="s">
        <v>69</v>
      </c>
      <c r="B69" s="19" t="s">
        <v>188</v>
      </c>
      <c r="C69" s="1"/>
      <c r="D69" s="109">
        <f>SUM(D70)</f>
        <v>700000</v>
      </c>
      <c r="E69" s="109">
        <f>SUM(E70)</f>
        <v>0</v>
      </c>
      <c r="F69" s="109">
        <f>SUM(F70)</f>
        <v>700000</v>
      </c>
    </row>
    <row r="70" spans="1:6" ht="25.5">
      <c r="A70" s="81" t="s">
        <v>189</v>
      </c>
      <c r="B70" s="47" t="s">
        <v>188</v>
      </c>
      <c r="C70" s="47" t="s">
        <v>59</v>
      </c>
      <c r="D70" s="116">
        <f>+ведомств!G546</f>
        <v>700000</v>
      </c>
      <c r="E70" s="116">
        <f>+ведомств!H546</f>
        <v>0</v>
      </c>
      <c r="F70" s="111">
        <f>SUM(D70:E70)</f>
        <v>700000</v>
      </c>
    </row>
    <row r="71" spans="1:6" ht="12.75">
      <c r="A71" s="81"/>
      <c r="B71" s="47"/>
      <c r="C71" s="47"/>
      <c r="D71" s="116"/>
      <c r="E71" s="116"/>
      <c r="F71" s="116"/>
    </row>
    <row r="72" spans="1:6" ht="38.25">
      <c r="A72" s="4" t="s">
        <v>192</v>
      </c>
      <c r="B72" s="19" t="s">
        <v>86</v>
      </c>
      <c r="C72" s="1"/>
      <c r="D72" s="109">
        <f>SUM(D73:D75)</f>
        <v>43191720</v>
      </c>
      <c r="E72" s="109">
        <f>SUM(E73:E75)</f>
        <v>127273</v>
      </c>
      <c r="F72" s="109">
        <f>SUM(F73:F75)</f>
        <v>43318993</v>
      </c>
    </row>
    <row r="73" spans="1:6" ht="34.5" customHeight="1">
      <c r="A73" s="81" t="s">
        <v>193</v>
      </c>
      <c r="B73" s="47" t="s">
        <v>86</v>
      </c>
      <c r="C73" s="47" t="s">
        <v>59</v>
      </c>
      <c r="D73" s="116">
        <f>+ведомств!G552</f>
        <v>5934200</v>
      </c>
      <c r="E73" s="116">
        <f>+ведомств!H552</f>
        <v>0</v>
      </c>
      <c r="F73" s="111">
        <f>SUM(D73:E73)</f>
        <v>5934200</v>
      </c>
    </row>
    <row r="74" spans="1:6" ht="16.5" customHeight="1">
      <c r="A74" s="81" t="s">
        <v>431</v>
      </c>
      <c r="B74" s="47" t="s">
        <v>86</v>
      </c>
      <c r="C74" s="47" t="s">
        <v>55</v>
      </c>
      <c r="D74" s="116">
        <f>ведомств!G562</f>
        <v>1516600</v>
      </c>
      <c r="E74" s="116">
        <f>ведомств!H562</f>
        <v>0</v>
      </c>
      <c r="F74" s="111">
        <f>SUM(D74:E74)</f>
        <v>1516600</v>
      </c>
    </row>
    <row r="75" spans="1:6" ht="12.75">
      <c r="A75" s="81" t="s">
        <v>268</v>
      </c>
      <c r="B75" s="47" t="s">
        <v>86</v>
      </c>
      <c r="C75" s="47" t="s">
        <v>41</v>
      </c>
      <c r="D75" s="116">
        <f>+ведомств!G568</f>
        <v>35740920</v>
      </c>
      <c r="E75" s="116">
        <f>+ведомств!H568</f>
        <v>127273</v>
      </c>
      <c r="F75" s="111">
        <f>SUM(D75:E75)</f>
        <v>35868193</v>
      </c>
    </row>
    <row r="76" spans="1:6" ht="12.75">
      <c r="A76" s="46"/>
      <c r="B76" s="47"/>
      <c r="C76" s="47"/>
      <c r="D76" s="116"/>
      <c r="E76" s="116"/>
      <c r="F76" s="116"/>
    </row>
    <row r="77" spans="1:6" ht="15">
      <c r="A77" s="90" t="s">
        <v>180</v>
      </c>
      <c r="B77" s="91"/>
      <c r="C77" s="92"/>
      <c r="D77" s="112">
        <f>+D16+D25+D28+D32+D43+D38+D46+D52+D56+D62+D66+D69+D72</f>
        <v>506709051.65000004</v>
      </c>
      <c r="E77" s="112">
        <f>+E16+E25+E28+E32+E43+E38+E46+E52+E56+E62+E66+E69+E72</f>
        <v>54052587.48</v>
      </c>
      <c r="F77" s="112">
        <f>+F16+F25+F28+F32+F43+F38+F46+F52+F56+F62+F66+F69+F72</f>
        <v>560761639.1300001</v>
      </c>
    </row>
  </sheetData>
  <sheetProtection/>
  <mergeCells count="1">
    <mergeCell ref="A11:F11"/>
  </mergeCells>
  <printOptions/>
  <pageMargins left="0.5905511811023623" right="0.3937007874015748" top="0.5905511811023623" bottom="0.5905511811023623" header="0.5118110236220472" footer="0.3937007874015748"/>
  <pageSetup fitToHeight="2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4"/>
  <sheetViews>
    <sheetView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4.875" style="30" customWidth="1"/>
    <col min="2" max="2" width="5.00390625" style="30" customWidth="1"/>
    <col min="3" max="3" width="5.125" style="30" customWidth="1"/>
    <col min="4" max="4" width="5.25390625" style="30" customWidth="1"/>
    <col min="5" max="5" width="9.375" style="30" customWidth="1"/>
    <col min="6" max="6" width="6.25390625" style="30" customWidth="1"/>
    <col min="7" max="7" width="17.375" style="27" customWidth="1"/>
    <col min="8" max="8" width="18.125" style="0" customWidth="1"/>
    <col min="9" max="9" width="18.00390625" style="0" customWidth="1"/>
    <col min="10" max="10" width="1.75390625" style="0" customWidth="1"/>
    <col min="11" max="11" width="15.625" style="0" bestFit="1" customWidth="1"/>
    <col min="12" max="12" width="15.25390625" style="0" customWidth="1"/>
    <col min="13" max="13" width="14.625" style="0" customWidth="1"/>
  </cols>
  <sheetData>
    <row r="1" spans="7:10" ht="12.75">
      <c r="G1" s="83"/>
      <c r="I1" s="83" t="s">
        <v>390</v>
      </c>
      <c r="J1" s="83"/>
    </row>
    <row r="2" spans="7:10" ht="12.75">
      <c r="G2" s="80"/>
      <c r="I2" s="80" t="s">
        <v>167</v>
      </c>
      <c r="J2" s="80"/>
    </row>
    <row r="3" spans="7:10" ht="12.75">
      <c r="G3" s="80"/>
      <c r="I3" s="80" t="s">
        <v>168</v>
      </c>
      <c r="J3" s="80"/>
    </row>
    <row r="4" spans="7:10" ht="12.75">
      <c r="G4" s="83"/>
      <c r="I4" s="83" t="s">
        <v>474</v>
      </c>
      <c r="J4" s="83"/>
    </row>
    <row r="5" spans="7:10" ht="12.75">
      <c r="G5" s="83"/>
      <c r="I5" s="27"/>
      <c r="J5" s="27"/>
    </row>
    <row r="6" spans="7:10" ht="12.75">
      <c r="G6" s="83"/>
      <c r="I6" s="83" t="s">
        <v>391</v>
      </c>
      <c r="J6" s="83"/>
    </row>
    <row r="7" spans="7:10" ht="12.75">
      <c r="G7" s="83"/>
      <c r="I7" s="80" t="s">
        <v>167</v>
      </c>
      <c r="J7" s="80"/>
    </row>
    <row r="8" spans="7:10" ht="12.75">
      <c r="G8" s="83"/>
      <c r="I8" s="80" t="s">
        <v>168</v>
      </c>
      <c r="J8" s="80"/>
    </row>
    <row r="9" spans="7:10" ht="12.75">
      <c r="G9" s="83"/>
      <c r="I9" s="83" t="s">
        <v>388</v>
      </c>
      <c r="J9" s="83"/>
    </row>
    <row r="10" ht="12.75">
      <c r="G10" s="83"/>
    </row>
    <row r="11" ht="11.25" customHeight="1"/>
    <row r="12" spans="1:7" ht="16.5" customHeight="1">
      <c r="A12" s="150" t="s">
        <v>324</v>
      </c>
      <c r="B12" s="150"/>
      <c r="C12" s="150"/>
      <c r="D12" s="150"/>
      <c r="E12" s="150"/>
      <c r="F12" s="150"/>
      <c r="G12" s="150"/>
    </row>
    <row r="13" spans="1:7" ht="16.5" customHeight="1">
      <c r="A13" s="101"/>
      <c r="B13" s="100"/>
      <c r="C13" s="100"/>
      <c r="D13" s="100"/>
      <c r="E13" s="100"/>
      <c r="F13" s="100"/>
      <c r="G13" s="100"/>
    </row>
    <row r="14" spans="9:10" ht="12.75">
      <c r="I14" s="120" t="s">
        <v>387</v>
      </c>
      <c r="J14" s="120"/>
    </row>
    <row r="15" spans="1:13" ht="38.25">
      <c r="A15" s="9" t="s">
        <v>38</v>
      </c>
      <c r="B15" s="50" t="s">
        <v>162</v>
      </c>
      <c r="C15" s="10" t="s">
        <v>39</v>
      </c>
      <c r="D15" s="10" t="s">
        <v>40</v>
      </c>
      <c r="E15" s="10" t="s">
        <v>37</v>
      </c>
      <c r="F15" s="11" t="s">
        <v>187</v>
      </c>
      <c r="G15" s="105" t="s">
        <v>386</v>
      </c>
      <c r="H15" s="105" t="s">
        <v>381</v>
      </c>
      <c r="I15" s="105" t="s">
        <v>382</v>
      </c>
      <c r="J15" s="121"/>
      <c r="K15" s="121" t="s">
        <v>458</v>
      </c>
      <c r="L15" s="121" t="s">
        <v>467</v>
      </c>
      <c r="M15" s="121"/>
    </row>
    <row r="16" spans="1:10" ht="12.75">
      <c r="A16" s="12">
        <v>1</v>
      </c>
      <c r="B16" s="32">
        <v>2</v>
      </c>
      <c r="C16" s="32">
        <v>3</v>
      </c>
      <c r="D16" s="32">
        <v>4</v>
      </c>
      <c r="E16" s="32">
        <v>5</v>
      </c>
      <c r="F16" s="31" t="s">
        <v>135</v>
      </c>
      <c r="G16" s="31" t="s">
        <v>163</v>
      </c>
      <c r="H16" s="31" t="s">
        <v>389</v>
      </c>
      <c r="I16" s="31" t="s">
        <v>88</v>
      </c>
      <c r="J16" s="130"/>
    </row>
    <row r="17" spans="1:10" ht="12.75">
      <c r="A17" s="24"/>
      <c r="B17" s="51"/>
      <c r="C17" s="25"/>
      <c r="D17" s="25"/>
      <c r="E17" s="25"/>
      <c r="F17" s="25"/>
      <c r="G17" s="26"/>
      <c r="H17" s="26"/>
      <c r="I17" s="26"/>
      <c r="J17" s="131"/>
    </row>
    <row r="18" spans="1:10" ht="35.25" customHeight="1">
      <c r="A18" s="62" t="s">
        <v>323</v>
      </c>
      <c r="B18" s="59" t="s">
        <v>166</v>
      </c>
      <c r="C18" s="57"/>
      <c r="D18" s="57"/>
      <c r="E18" s="57"/>
      <c r="F18" s="56"/>
      <c r="G18" s="114">
        <f>SUM(G32+G55+G105+G89+G114+G25+G19)</f>
        <v>32264186.05</v>
      </c>
      <c r="H18" s="114">
        <f>SUM(H32+H55+H105+H89+H114+H25+H19)</f>
        <v>1324403.76</v>
      </c>
      <c r="I18" s="114">
        <f aca="true" t="shared" si="0" ref="I18:I23">SUM(G18:H18)</f>
        <v>33588589.81</v>
      </c>
      <c r="J18" s="132"/>
    </row>
    <row r="19" spans="1:10" ht="15.75">
      <c r="A19" s="34" t="s">
        <v>90</v>
      </c>
      <c r="B19" s="41" t="s">
        <v>166</v>
      </c>
      <c r="C19" s="41" t="s">
        <v>59</v>
      </c>
      <c r="D19" s="42"/>
      <c r="E19" s="42"/>
      <c r="F19" s="43"/>
      <c r="G19" s="108">
        <f>+G20</f>
        <v>50000</v>
      </c>
      <c r="H19" s="108">
        <f>+H20</f>
        <v>0</v>
      </c>
      <c r="I19" s="108">
        <f t="shared" si="0"/>
        <v>50000</v>
      </c>
      <c r="J19" s="133"/>
    </row>
    <row r="20" spans="1:10" ht="12.75">
      <c r="A20" s="4" t="s">
        <v>12</v>
      </c>
      <c r="B20" s="18" t="s">
        <v>166</v>
      </c>
      <c r="C20" s="19" t="s">
        <v>59</v>
      </c>
      <c r="D20" s="19" t="s">
        <v>188</v>
      </c>
      <c r="E20" s="1"/>
      <c r="F20" s="17"/>
      <c r="G20" s="109">
        <f>+G21</f>
        <v>50000</v>
      </c>
      <c r="H20" s="109">
        <f>+H21</f>
        <v>0</v>
      </c>
      <c r="I20" s="109">
        <f t="shared" si="0"/>
        <v>50000</v>
      </c>
      <c r="J20" s="134"/>
    </row>
    <row r="21" spans="1:10" ht="12.75">
      <c r="A21" s="2" t="s">
        <v>147</v>
      </c>
      <c r="B21" s="87" t="s">
        <v>166</v>
      </c>
      <c r="C21" s="1" t="s">
        <v>59</v>
      </c>
      <c r="D21" s="1" t="s">
        <v>188</v>
      </c>
      <c r="E21" s="1" t="s">
        <v>148</v>
      </c>
      <c r="F21" s="17"/>
      <c r="G21" s="110">
        <f>SUM(G22)</f>
        <v>50000</v>
      </c>
      <c r="H21" s="110">
        <f>SUM(H22)</f>
        <v>0</v>
      </c>
      <c r="I21" s="110">
        <f t="shared" si="0"/>
        <v>50000</v>
      </c>
      <c r="J21" s="135"/>
    </row>
    <row r="22" spans="1:10" ht="24" customHeight="1">
      <c r="A22" s="2" t="s">
        <v>347</v>
      </c>
      <c r="B22" s="87" t="s">
        <v>166</v>
      </c>
      <c r="C22" s="1" t="s">
        <v>59</v>
      </c>
      <c r="D22" s="1" t="s">
        <v>188</v>
      </c>
      <c r="E22" s="1" t="s">
        <v>279</v>
      </c>
      <c r="F22" s="17"/>
      <c r="G22" s="110">
        <f>G23</f>
        <v>50000</v>
      </c>
      <c r="H22" s="110">
        <f>H23</f>
        <v>0</v>
      </c>
      <c r="I22" s="110">
        <f t="shared" si="0"/>
        <v>50000</v>
      </c>
      <c r="J22" s="135"/>
    </row>
    <row r="23" spans="1:10" ht="12.75" customHeight="1">
      <c r="A23" s="15" t="s">
        <v>134</v>
      </c>
      <c r="B23" s="87" t="s">
        <v>166</v>
      </c>
      <c r="C23" s="1" t="s">
        <v>59</v>
      </c>
      <c r="D23" s="1" t="s">
        <v>188</v>
      </c>
      <c r="E23" s="1" t="s">
        <v>279</v>
      </c>
      <c r="F23" s="17" t="s">
        <v>133</v>
      </c>
      <c r="G23" s="110">
        <v>50000</v>
      </c>
      <c r="H23" s="110"/>
      <c r="I23" s="110">
        <f t="shared" si="0"/>
        <v>50000</v>
      </c>
      <c r="J23" s="135"/>
    </row>
    <row r="24" spans="1:10" ht="12.75" customHeight="1">
      <c r="A24" s="2"/>
      <c r="B24" s="87"/>
      <c r="C24" s="1"/>
      <c r="D24" s="1"/>
      <c r="E24" s="1"/>
      <c r="F24" s="17"/>
      <c r="G24" s="110"/>
      <c r="H24" s="110"/>
      <c r="I24" s="110"/>
      <c r="J24" s="135"/>
    </row>
    <row r="25" spans="1:10" ht="15.75">
      <c r="A25" s="34" t="s">
        <v>53</v>
      </c>
      <c r="B25" s="41" t="s">
        <v>166</v>
      </c>
      <c r="C25" s="41" t="s">
        <v>54</v>
      </c>
      <c r="D25" s="42"/>
      <c r="E25" s="42"/>
      <c r="F25" s="43"/>
      <c r="G25" s="108">
        <f aca="true" t="shared" si="1" ref="G25:H27">+G26</f>
        <v>55000</v>
      </c>
      <c r="H25" s="108">
        <f t="shared" si="1"/>
        <v>0</v>
      </c>
      <c r="I25" s="108">
        <f aca="true" t="shared" si="2" ref="I25:I30">SUM(G25:H25)</f>
        <v>55000</v>
      </c>
      <c r="J25" s="133"/>
    </row>
    <row r="26" spans="1:10" ht="12.75">
      <c r="A26" s="4" t="s">
        <v>126</v>
      </c>
      <c r="B26" s="18" t="s">
        <v>166</v>
      </c>
      <c r="C26" s="19" t="s">
        <v>54</v>
      </c>
      <c r="D26" s="19" t="s">
        <v>57</v>
      </c>
      <c r="E26" s="1"/>
      <c r="F26" s="17"/>
      <c r="G26" s="109">
        <f t="shared" si="1"/>
        <v>55000</v>
      </c>
      <c r="H26" s="109">
        <f t="shared" si="1"/>
        <v>0</v>
      </c>
      <c r="I26" s="109">
        <f t="shared" si="2"/>
        <v>55000</v>
      </c>
      <c r="J26" s="134"/>
    </row>
    <row r="27" spans="1:10" ht="12.75">
      <c r="A27" s="2" t="s">
        <v>6</v>
      </c>
      <c r="B27" s="87" t="s">
        <v>166</v>
      </c>
      <c r="C27" s="1" t="s">
        <v>54</v>
      </c>
      <c r="D27" s="1" t="s">
        <v>57</v>
      </c>
      <c r="E27" s="1" t="s">
        <v>7</v>
      </c>
      <c r="F27" s="17"/>
      <c r="G27" s="110">
        <f t="shared" si="1"/>
        <v>55000</v>
      </c>
      <c r="H27" s="110">
        <f t="shared" si="1"/>
        <v>0</v>
      </c>
      <c r="I27" s="110">
        <f t="shared" si="2"/>
        <v>55000</v>
      </c>
      <c r="J27" s="135"/>
    </row>
    <row r="28" spans="1:10" ht="12.75" customHeight="1">
      <c r="A28" s="2" t="s">
        <v>8</v>
      </c>
      <c r="B28" s="87" t="s">
        <v>166</v>
      </c>
      <c r="C28" s="1" t="s">
        <v>54</v>
      </c>
      <c r="D28" s="1" t="s">
        <v>57</v>
      </c>
      <c r="E28" s="1" t="s">
        <v>9</v>
      </c>
      <c r="F28" s="17"/>
      <c r="G28" s="110">
        <f>SUM(G29:G30)</f>
        <v>55000</v>
      </c>
      <c r="H28" s="110">
        <f>SUM(H29:H30)</f>
        <v>0</v>
      </c>
      <c r="I28" s="110">
        <f t="shared" si="2"/>
        <v>55000</v>
      </c>
      <c r="J28" s="135"/>
    </row>
    <row r="29" spans="1:10" ht="15.75" customHeight="1">
      <c r="A29" s="2" t="s">
        <v>250</v>
      </c>
      <c r="B29" s="87" t="s">
        <v>166</v>
      </c>
      <c r="C29" s="1" t="s">
        <v>54</v>
      </c>
      <c r="D29" s="1" t="s">
        <v>57</v>
      </c>
      <c r="E29" s="1" t="s">
        <v>9</v>
      </c>
      <c r="F29" s="17" t="s">
        <v>249</v>
      </c>
      <c r="G29" s="110">
        <v>35000</v>
      </c>
      <c r="H29" s="110"/>
      <c r="I29" s="110">
        <f t="shared" si="2"/>
        <v>35000</v>
      </c>
      <c r="J29" s="135"/>
    </row>
    <row r="30" spans="1:10" ht="15" customHeight="1">
      <c r="A30" s="2" t="s">
        <v>251</v>
      </c>
      <c r="B30" s="87" t="s">
        <v>166</v>
      </c>
      <c r="C30" s="1" t="s">
        <v>54</v>
      </c>
      <c r="D30" s="1" t="s">
        <v>57</v>
      </c>
      <c r="E30" s="1" t="s">
        <v>9</v>
      </c>
      <c r="F30" s="17" t="s">
        <v>252</v>
      </c>
      <c r="G30" s="110">
        <v>20000</v>
      </c>
      <c r="H30" s="110"/>
      <c r="I30" s="110">
        <f t="shared" si="2"/>
        <v>20000</v>
      </c>
      <c r="J30" s="135"/>
    </row>
    <row r="31" spans="1:10" ht="12.75">
      <c r="A31" s="2"/>
      <c r="B31" s="87"/>
      <c r="C31" s="1"/>
      <c r="D31" s="1"/>
      <c r="E31" s="1"/>
      <c r="F31" s="17"/>
      <c r="G31" s="110"/>
      <c r="H31" s="110"/>
      <c r="I31" s="110"/>
      <c r="J31" s="135"/>
    </row>
    <row r="32" spans="1:10" ht="15.75">
      <c r="A32" s="34" t="s">
        <v>77</v>
      </c>
      <c r="B32" s="41" t="s">
        <v>166</v>
      </c>
      <c r="C32" s="41" t="s">
        <v>16</v>
      </c>
      <c r="D32" s="42"/>
      <c r="E32" s="42"/>
      <c r="F32" s="43"/>
      <c r="G32" s="108">
        <f>G33+G50</f>
        <v>5597960</v>
      </c>
      <c r="H32" s="108">
        <f>H33+H50</f>
        <v>1327202</v>
      </c>
      <c r="I32" s="108">
        <f aca="true" t="shared" si="3" ref="I32:I48">SUM(G32:H32)</f>
        <v>6925162</v>
      </c>
      <c r="J32" s="133"/>
    </row>
    <row r="33" spans="1:10" ht="12.75">
      <c r="A33" s="4" t="s">
        <v>78</v>
      </c>
      <c r="B33" s="18" t="s">
        <v>166</v>
      </c>
      <c r="C33" s="19" t="s">
        <v>16</v>
      </c>
      <c r="D33" s="19" t="s">
        <v>55</v>
      </c>
      <c r="E33" s="1"/>
      <c r="F33" s="17"/>
      <c r="G33" s="109">
        <f>SUM(G34+G38+G40+G46)</f>
        <v>5497960</v>
      </c>
      <c r="H33" s="109">
        <f>SUM(H34+H38+H40+H46)</f>
        <v>1327202</v>
      </c>
      <c r="I33" s="109">
        <f t="shared" si="3"/>
        <v>6825162</v>
      </c>
      <c r="J33" s="134"/>
    </row>
    <row r="34" spans="1:10" ht="12.75">
      <c r="A34" s="2" t="s">
        <v>79</v>
      </c>
      <c r="B34" s="1" t="s">
        <v>166</v>
      </c>
      <c r="C34" s="1" t="s">
        <v>16</v>
      </c>
      <c r="D34" s="1" t="s">
        <v>55</v>
      </c>
      <c r="E34" s="1" t="s">
        <v>80</v>
      </c>
      <c r="F34" s="17"/>
      <c r="G34" s="111">
        <f>G35</f>
        <v>5301160</v>
      </c>
      <c r="H34" s="111">
        <f>H35</f>
        <v>636502</v>
      </c>
      <c r="I34" s="111">
        <f t="shared" si="3"/>
        <v>5937662</v>
      </c>
      <c r="J34" s="136"/>
    </row>
    <row r="35" spans="1:10" ht="12.75" customHeight="1">
      <c r="A35" s="2" t="s">
        <v>68</v>
      </c>
      <c r="B35" s="1" t="s">
        <v>166</v>
      </c>
      <c r="C35" s="1" t="s">
        <v>16</v>
      </c>
      <c r="D35" s="1" t="s">
        <v>55</v>
      </c>
      <c r="E35" s="1" t="s">
        <v>81</v>
      </c>
      <c r="F35" s="17"/>
      <c r="G35" s="111">
        <f>SUM(G36:G37)</f>
        <v>5301160</v>
      </c>
      <c r="H35" s="111">
        <f>SUM(H36:H37)</f>
        <v>636502</v>
      </c>
      <c r="I35" s="111">
        <f t="shared" si="3"/>
        <v>5937662</v>
      </c>
      <c r="J35" s="136"/>
    </row>
    <row r="36" spans="1:12" ht="38.25">
      <c r="A36" s="7" t="s">
        <v>280</v>
      </c>
      <c r="B36" s="1" t="s">
        <v>166</v>
      </c>
      <c r="C36" s="1" t="s">
        <v>16</v>
      </c>
      <c r="D36" s="1" t="s">
        <v>55</v>
      </c>
      <c r="E36" s="1" t="s">
        <v>81</v>
      </c>
      <c r="F36" s="17" t="s">
        <v>281</v>
      </c>
      <c r="G36" s="111">
        <v>5251160</v>
      </c>
      <c r="H36" s="111">
        <f>1502+700000-65000</f>
        <v>636502</v>
      </c>
      <c r="I36" s="111">
        <f t="shared" si="3"/>
        <v>5887662</v>
      </c>
      <c r="J36" s="136"/>
      <c r="K36">
        <v>700000</v>
      </c>
      <c r="L36" s="122">
        <v>65000</v>
      </c>
    </row>
    <row r="37" spans="1:10" ht="12.75">
      <c r="A37" s="7" t="s">
        <v>283</v>
      </c>
      <c r="B37" s="1" t="s">
        <v>166</v>
      </c>
      <c r="C37" s="1" t="s">
        <v>16</v>
      </c>
      <c r="D37" s="1" t="s">
        <v>55</v>
      </c>
      <c r="E37" s="1" t="s">
        <v>81</v>
      </c>
      <c r="F37" s="17" t="s">
        <v>282</v>
      </c>
      <c r="G37" s="111">
        <v>50000</v>
      </c>
      <c r="H37" s="111"/>
      <c r="I37" s="111">
        <f t="shared" si="3"/>
        <v>50000</v>
      </c>
      <c r="J37" s="136"/>
    </row>
    <row r="38" spans="1:10" ht="38.25">
      <c r="A38" s="7" t="s">
        <v>465</v>
      </c>
      <c r="B38" s="1" t="s">
        <v>166</v>
      </c>
      <c r="C38" s="1" t="s">
        <v>16</v>
      </c>
      <c r="D38" s="1" t="s">
        <v>55</v>
      </c>
      <c r="E38" s="1" t="s">
        <v>466</v>
      </c>
      <c r="F38" s="17"/>
      <c r="G38" s="111"/>
      <c r="H38" s="111">
        <f>H39</f>
        <v>600000</v>
      </c>
      <c r="I38" s="111">
        <f t="shared" si="3"/>
        <v>600000</v>
      </c>
      <c r="J38" s="136"/>
    </row>
    <row r="39" spans="1:10" ht="12.75">
      <c r="A39" s="7" t="s">
        <v>283</v>
      </c>
      <c r="B39" s="1" t="s">
        <v>166</v>
      </c>
      <c r="C39" s="1" t="s">
        <v>16</v>
      </c>
      <c r="D39" s="1" t="s">
        <v>55</v>
      </c>
      <c r="E39" s="1" t="s">
        <v>466</v>
      </c>
      <c r="F39" s="17" t="s">
        <v>282</v>
      </c>
      <c r="G39" s="111"/>
      <c r="H39" s="111">
        <v>600000</v>
      </c>
      <c r="I39" s="111">
        <f t="shared" si="3"/>
        <v>600000</v>
      </c>
      <c r="J39" s="136"/>
    </row>
    <row r="40" spans="1:10" ht="12.75">
      <c r="A40" s="7" t="s">
        <v>419</v>
      </c>
      <c r="B40" s="61" t="s">
        <v>166</v>
      </c>
      <c r="C40" s="1" t="s">
        <v>16</v>
      </c>
      <c r="D40" s="1" t="s">
        <v>55</v>
      </c>
      <c r="E40" s="1" t="s">
        <v>42</v>
      </c>
      <c r="F40" s="17"/>
      <c r="G40" s="111">
        <f>G41+G44</f>
        <v>196800</v>
      </c>
      <c r="H40" s="111">
        <f>H41+H44</f>
        <v>80700</v>
      </c>
      <c r="I40" s="111">
        <f t="shared" si="3"/>
        <v>277500</v>
      </c>
      <c r="J40" s="136"/>
    </row>
    <row r="41" spans="1:10" ht="40.5" customHeight="1">
      <c r="A41" s="7" t="s">
        <v>101</v>
      </c>
      <c r="B41" s="61" t="s">
        <v>166</v>
      </c>
      <c r="C41" s="1" t="s">
        <v>16</v>
      </c>
      <c r="D41" s="1" t="s">
        <v>55</v>
      </c>
      <c r="E41" s="1" t="s">
        <v>43</v>
      </c>
      <c r="F41" s="17"/>
      <c r="G41" s="111">
        <f>G42</f>
        <v>45000</v>
      </c>
      <c r="H41" s="111">
        <f>H42</f>
        <v>54000</v>
      </c>
      <c r="I41" s="111">
        <f t="shared" si="3"/>
        <v>99000</v>
      </c>
      <c r="J41" s="136"/>
    </row>
    <row r="42" spans="1:10" ht="63.75">
      <c r="A42" s="129" t="s">
        <v>420</v>
      </c>
      <c r="B42" s="61" t="s">
        <v>166</v>
      </c>
      <c r="C42" s="1" t="s">
        <v>16</v>
      </c>
      <c r="D42" s="1" t="s">
        <v>55</v>
      </c>
      <c r="E42" s="1" t="s">
        <v>421</v>
      </c>
      <c r="F42" s="17"/>
      <c r="G42" s="111">
        <f>G43</f>
        <v>45000</v>
      </c>
      <c r="H42" s="111">
        <f>H43</f>
        <v>54000</v>
      </c>
      <c r="I42" s="111">
        <f t="shared" si="3"/>
        <v>99000</v>
      </c>
      <c r="J42" s="136"/>
    </row>
    <row r="43" spans="1:13" ht="12.75">
      <c r="A43" s="7" t="s">
        <v>283</v>
      </c>
      <c r="B43" s="61" t="s">
        <v>166</v>
      </c>
      <c r="C43" s="1" t="s">
        <v>16</v>
      </c>
      <c r="D43" s="1" t="s">
        <v>55</v>
      </c>
      <c r="E43" s="1" t="s">
        <v>421</v>
      </c>
      <c r="F43" s="17" t="s">
        <v>282</v>
      </c>
      <c r="G43" s="111">
        <v>45000</v>
      </c>
      <c r="H43" s="111">
        <f>39000+15000</f>
        <v>54000</v>
      </c>
      <c r="I43" s="111">
        <f t="shared" si="3"/>
        <v>99000</v>
      </c>
      <c r="J43" s="136"/>
      <c r="M43" s="122"/>
    </row>
    <row r="44" spans="1:13" ht="63.75">
      <c r="A44" s="2" t="s">
        <v>426</v>
      </c>
      <c r="B44" s="1" t="s">
        <v>166</v>
      </c>
      <c r="C44" s="1" t="s">
        <v>16</v>
      </c>
      <c r="D44" s="1" t="s">
        <v>55</v>
      </c>
      <c r="E44" s="3" t="s">
        <v>427</v>
      </c>
      <c r="F44" s="17"/>
      <c r="G44" s="111">
        <f>G45</f>
        <v>151800</v>
      </c>
      <c r="H44" s="111">
        <f>H45</f>
        <v>26700</v>
      </c>
      <c r="I44" s="111">
        <f t="shared" si="3"/>
        <v>178500</v>
      </c>
      <c r="J44" s="136"/>
      <c r="M44" s="122"/>
    </row>
    <row r="45" spans="1:13" ht="38.25">
      <c r="A45" s="7" t="s">
        <v>280</v>
      </c>
      <c r="B45" s="1" t="s">
        <v>166</v>
      </c>
      <c r="C45" s="1" t="s">
        <v>16</v>
      </c>
      <c r="D45" s="1" t="s">
        <v>55</v>
      </c>
      <c r="E45" s="3" t="s">
        <v>427</v>
      </c>
      <c r="F45" s="17" t="s">
        <v>281</v>
      </c>
      <c r="G45" s="111">
        <v>151800</v>
      </c>
      <c r="H45" s="111">
        <v>26700</v>
      </c>
      <c r="I45" s="111">
        <f t="shared" si="3"/>
        <v>178500</v>
      </c>
      <c r="J45" s="136"/>
      <c r="M45" s="122"/>
    </row>
    <row r="46" spans="1:13" ht="12.75">
      <c r="A46" s="2" t="s">
        <v>147</v>
      </c>
      <c r="B46" s="1" t="s">
        <v>166</v>
      </c>
      <c r="C46" s="1" t="s">
        <v>16</v>
      </c>
      <c r="D46" s="1" t="s">
        <v>55</v>
      </c>
      <c r="E46" s="1" t="s">
        <v>148</v>
      </c>
      <c r="F46" s="17"/>
      <c r="G46" s="111"/>
      <c r="H46" s="111">
        <f>H47</f>
        <v>10000</v>
      </c>
      <c r="I46" s="111">
        <f t="shared" si="3"/>
        <v>10000</v>
      </c>
      <c r="J46" s="136"/>
      <c r="M46" s="122"/>
    </row>
    <row r="47" spans="1:13" ht="38.25">
      <c r="A47" s="2" t="s">
        <v>349</v>
      </c>
      <c r="B47" s="1" t="s">
        <v>166</v>
      </c>
      <c r="C47" s="1" t="s">
        <v>16</v>
      </c>
      <c r="D47" s="1" t="s">
        <v>55</v>
      </c>
      <c r="E47" s="1" t="s">
        <v>284</v>
      </c>
      <c r="F47" s="17"/>
      <c r="G47" s="111"/>
      <c r="H47" s="111">
        <f>H48</f>
        <v>10000</v>
      </c>
      <c r="I47" s="111">
        <f t="shared" si="3"/>
        <v>10000</v>
      </c>
      <c r="J47" s="136"/>
      <c r="M47" s="122"/>
    </row>
    <row r="48" spans="1:13" ht="12.75">
      <c r="A48" s="7" t="s">
        <v>283</v>
      </c>
      <c r="B48" s="1" t="s">
        <v>166</v>
      </c>
      <c r="C48" s="1" t="s">
        <v>16</v>
      </c>
      <c r="D48" s="1" t="s">
        <v>55</v>
      </c>
      <c r="E48" s="1" t="s">
        <v>284</v>
      </c>
      <c r="F48" s="17" t="s">
        <v>282</v>
      </c>
      <c r="G48" s="111"/>
      <c r="H48" s="111">
        <v>10000</v>
      </c>
      <c r="I48" s="111">
        <f t="shared" si="3"/>
        <v>10000</v>
      </c>
      <c r="J48" s="136"/>
      <c r="K48">
        <v>10000</v>
      </c>
      <c r="M48" s="122"/>
    </row>
    <row r="49" spans="1:10" ht="12.75">
      <c r="A49" s="7"/>
      <c r="B49" s="61"/>
      <c r="C49" s="1"/>
      <c r="D49" s="1"/>
      <c r="E49" s="1"/>
      <c r="F49" s="17"/>
      <c r="G49" s="111"/>
      <c r="H49" s="111"/>
      <c r="I49" s="111"/>
      <c r="J49" s="136"/>
    </row>
    <row r="50" spans="1:10" ht="12.75">
      <c r="A50" s="4" t="s">
        <v>102</v>
      </c>
      <c r="B50" s="18" t="s">
        <v>166</v>
      </c>
      <c r="C50" s="18" t="s">
        <v>16</v>
      </c>
      <c r="D50" s="18" t="s">
        <v>16</v>
      </c>
      <c r="E50" s="18"/>
      <c r="F50" s="17"/>
      <c r="G50" s="109">
        <f aca="true" t="shared" si="4" ref="G50:H52">G51</f>
        <v>100000</v>
      </c>
      <c r="H50" s="109">
        <f t="shared" si="4"/>
        <v>0</v>
      </c>
      <c r="I50" s="109">
        <f>SUM(G50:H50)</f>
        <v>100000</v>
      </c>
      <c r="J50" s="134"/>
    </row>
    <row r="51" spans="1:10" ht="12.75">
      <c r="A51" s="7" t="s">
        <v>147</v>
      </c>
      <c r="B51" s="1" t="s">
        <v>166</v>
      </c>
      <c r="C51" s="1" t="s">
        <v>16</v>
      </c>
      <c r="D51" s="1" t="s">
        <v>16</v>
      </c>
      <c r="E51" s="1" t="s">
        <v>148</v>
      </c>
      <c r="F51" s="17"/>
      <c r="G51" s="111">
        <f t="shared" si="4"/>
        <v>100000</v>
      </c>
      <c r="H51" s="111">
        <f t="shared" si="4"/>
        <v>0</v>
      </c>
      <c r="I51" s="111">
        <f>SUM(G51:H51)</f>
        <v>100000</v>
      </c>
      <c r="J51" s="136"/>
    </row>
    <row r="52" spans="1:10" ht="25.5">
      <c r="A52" s="2" t="s">
        <v>348</v>
      </c>
      <c r="B52" s="1" t="s">
        <v>166</v>
      </c>
      <c r="C52" s="1" t="s">
        <v>16</v>
      </c>
      <c r="D52" s="1" t="s">
        <v>16</v>
      </c>
      <c r="E52" s="1" t="s">
        <v>221</v>
      </c>
      <c r="F52" s="17"/>
      <c r="G52" s="111">
        <f t="shared" si="4"/>
        <v>100000</v>
      </c>
      <c r="H52" s="111">
        <f t="shared" si="4"/>
        <v>0</v>
      </c>
      <c r="I52" s="111">
        <f>SUM(G52:H52)</f>
        <v>100000</v>
      </c>
      <c r="J52" s="136"/>
    </row>
    <row r="53" spans="1:10" ht="12.75">
      <c r="A53" s="2" t="s">
        <v>105</v>
      </c>
      <c r="B53" s="1" t="s">
        <v>166</v>
      </c>
      <c r="C53" s="1" t="s">
        <v>16</v>
      </c>
      <c r="D53" s="1" t="s">
        <v>16</v>
      </c>
      <c r="E53" s="1" t="s">
        <v>221</v>
      </c>
      <c r="F53" s="17" t="s">
        <v>146</v>
      </c>
      <c r="G53" s="111">
        <v>100000</v>
      </c>
      <c r="H53" s="111"/>
      <c r="I53" s="111">
        <f>SUM(G53:H53)</f>
        <v>100000</v>
      </c>
      <c r="J53" s="136"/>
    </row>
    <row r="54" spans="1:10" ht="12.75">
      <c r="A54" s="2"/>
      <c r="B54" s="61"/>
      <c r="C54" s="1"/>
      <c r="D54" s="1"/>
      <c r="E54" s="1"/>
      <c r="F54" s="17"/>
      <c r="G54" s="111"/>
      <c r="H54" s="111"/>
      <c r="I54" s="111"/>
      <c r="J54" s="136"/>
    </row>
    <row r="55" spans="1:10" ht="15.75">
      <c r="A55" s="34" t="s">
        <v>204</v>
      </c>
      <c r="B55" s="35" t="s">
        <v>166</v>
      </c>
      <c r="C55" s="41" t="s">
        <v>84</v>
      </c>
      <c r="D55" s="41"/>
      <c r="E55" s="41"/>
      <c r="F55" s="44"/>
      <c r="G55" s="108">
        <f>G56+G84</f>
        <v>24053647.05</v>
      </c>
      <c r="H55" s="108">
        <f>H56+H84</f>
        <v>191201.75999999995</v>
      </c>
      <c r="I55" s="108">
        <f aca="true" t="shared" si="5" ref="I55:I82">SUM(G55:H55)</f>
        <v>24244848.810000002</v>
      </c>
      <c r="J55" s="133"/>
    </row>
    <row r="56" spans="1:10" ht="12.75">
      <c r="A56" s="4" t="s">
        <v>85</v>
      </c>
      <c r="B56" s="18" t="s">
        <v>166</v>
      </c>
      <c r="C56" s="19" t="s">
        <v>84</v>
      </c>
      <c r="D56" s="19" t="s">
        <v>59</v>
      </c>
      <c r="E56" s="19"/>
      <c r="F56" s="37"/>
      <c r="G56" s="109">
        <f>SUM(G57+G65+G71+G79+G75)</f>
        <v>19647981.05</v>
      </c>
      <c r="H56" s="109">
        <f>SUM(H57+H65+H71+H79+H75)</f>
        <v>176071.13999999996</v>
      </c>
      <c r="I56" s="109">
        <f t="shared" si="5"/>
        <v>19824052.19</v>
      </c>
      <c r="J56" s="134"/>
    </row>
    <row r="57" spans="1:10" ht="25.5">
      <c r="A57" s="2" t="s">
        <v>14</v>
      </c>
      <c r="B57" s="1" t="s">
        <v>166</v>
      </c>
      <c r="C57" s="1" t="s">
        <v>84</v>
      </c>
      <c r="D57" s="1" t="s">
        <v>59</v>
      </c>
      <c r="E57" s="1" t="s">
        <v>15</v>
      </c>
      <c r="F57" s="17"/>
      <c r="G57" s="111">
        <f>G62+G60+G58</f>
        <v>7511816</v>
      </c>
      <c r="H57" s="111">
        <f>H62+H60+H58</f>
        <v>158017.47999999998</v>
      </c>
      <c r="I57" s="111">
        <f t="shared" si="5"/>
        <v>7669833.48</v>
      </c>
      <c r="J57" s="136"/>
    </row>
    <row r="58" spans="1:10" ht="38.25">
      <c r="A58" s="2" t="s">
        <v>201</v>
      </c>
      <c r="B58" s="1" t="s">
        <v>166</v>
      </c>
      <c r="C58" s="1" t="s">
        <v>84</v>
      </c>
      <c r="D58" s="1" t="s">
        <v>59</v>
      </c>
      <c r="E58" s="1" t="s">
        <v>253</v>
      </c>
      <c r="F58" s="17"/>
      <c r="G58" s="111">
        <f>+G59</f>
        <v>150300</v>
      </c>
      <c r="H58" s="111">
        <f>+H59</f>
        <v>15200</v>
      </c>
      <c r="I58" s="111">
        <f t="shared" si="5"/>
        <v>165500</v>
      </c>
      <c r="J58" s="136"/>
    </row>
    <row r="59" spans="1:10" ht="12.75">
      <c r="A59" s="7" t="s">
        <v>283</v>
      </c>
      <c r="B59" s="1" t="s">
        <v>166</v>
      </c>
      <c r="C59" s="1" t="s">
        <v>84</v>
      </c>
      <c r="D59" s="1" t="s">
        <v>59</v>
      </c>
      <c r="E59" s="1" t="s">
        <v>253</v>
      </c>
      <c r="F59" s="17" t="s">
        <v>282</v>
      </c>
      <c r="G59" s="111">
        <v>150300</v>
      </c>
      <c r="H59" s="111">
        <v>15200</v>
      </c>
      <c r="I59" s="111">
        <f t="shared" si="5"/>
        <v>165500</v>
      </c>
      <c r="J59" s="136"/>
    </row>
    <row r="60" spans="1:10" ht="38.25">
      <c r="A60" s="7" t="s">
        <v>465</v>
      </c>
      <c r="B60" s="1" t="s">
        <v>166</v>
      </c>
      <c r="C60" s="1" t="s">
        <v>84</v>
      </c>
      <c r="D60" s="1" t="s">
        <v>59</v>
      </c>
      <c r="E60" s="1" t="s">
        <v>466</v>
      </c>
      <c r="F60" s="17"/>
      <c r="G60" s="111"/>
      <c r="H60" s="111">
        <f>H61</f>
        <v>390650</v>
      </c>
      <c r="I60" s="111">
        <f t="shared" si="5"/>
        <v>390650</v>
      </c>
      <c r="J60" s="136"/>
    </row>
    <row r="61" spans="1:10" ht="12.75">
      <c r="A61" s="15" t="s">
        <v>134</v>
      </c>
      <c r="B61" s="1" t="s">
        <v>166</v>
      </c>
      <c r="C61" s="1" t="s">
        <v>84</v>
      </c>
      <c r="D61" s="1" t="s">
        <v>59</v>
      </c>
      <c r="E61" s="1" t="s">
        <v>466</v>
      </c>
      <c r="F61" s="17" t="s">
        <v>133</v>
      </c>
      <c r="G61" s="111"/>
      <c r="H61" s="111">
        <v>390650</v>
      </c>
      <c r="I61" s="111">
        <f t="shared" si="5"/>
        <v>390650</v>
      </c>
      <c r="J61" s="136"/>
    </row>
    <row r="62" spans="1:10" ht="12.75" customHeight="1">
      <c r="A62" s="2" t="s">
        <v>68</v>
      </c>
      <c r="B62" s="1" t="s">
        <v>166</v>
      </c>
      <c r="C62" s="1" t="s">
        <v>84</v>
      </c>
      <c r="D62" s="1" t="s">
        <v>59</v>
      </c>
      <c r="E62" s="1" t="s">
        <v>109</v>
      </c>
      <c r="F62" s="17"/>
      <c r="G62" s="111">
        <f>SUM(G63:G64)</f>
        <v>7361516</v>
      </c>
      <c r="H62" s="111">
        <f>SUM(H63:H64)</f>
        <v>-247832.52000000002</v>
      </c>
      <c r="I62" s="111">
        <f t="shared" si="5"/>
        <v>7113683.48</v>
      </c>
      <c r="J62" s="136"/>
    </row>
    <row r="63" spans="1:12" ht="38.25">
      <c r="A63" s="7" t="s">
        <v>280</v>
      </c>
      <c r="B63" s="1" t="s">
        <v>166</v>
      </c>
      <c r="C63" s="1" t="s">
        <v>84</v>
      </c>
      <c r="D63" s="1" t="s">
        <v>59</v>
      </c>
      <c r="E63" s="1" t="s">
        <v>109</v>
      </c>
      <c r="F63" s="17" t="s">
        <v>281</v>
      </c>
      <c r="G63" s="111">
        <v>7281516</v>
      </c>
      <c r="H63" s="111">
        <f>32394-470000+64686+125087.48</f>
        <v>-247832.52000000002</v>
      </c>
      <c r="I63" s="111">
        <f t="shared" si="5"/>
        <v>7033683.48</v>
      </c>
      <c r="J63" s="136"/>
      <c r="L63" s="122">
        <v>470000</v>
      </c>
    </row>
    <row r="64" spans="1:10" ht="12.75">
      <c r="A64" s="7" t="s">
        <v>283</v>
      </c>
      <c r="B64" s="1" t="s">
        <v>166</v>
      </c>
      <c r="C64" s="1" t="s">
        <v>84</v>
      </c>
      <c r="D64" s="1" t="s">
        <v>59</v>
      </c>
      <c r="E64" s="1" t="s">
        <v>321</v>
      </c>
      <c r="F64" s="17" t="s">
        <v>282</v>
      </c>
      <c r="G64" s="111">
        <v>80000</v>
      </c>
      <c r="H64" s="111"/>
      <c r="I64" s="111">
        <f t="shared" si="5"/>
        <v>80000</v>
      </c>
      <c r="J64" s="136"/>
    </row>
    <row r="65" spans="1:10" ht="12.75">
      <c r="A65" s="2" t="s">
        <v>110</v>
      </c>
      <c r="B65" s="1" t="s">
        <v>166</v>
      </c>
      <c r="C65" s="1" t="s">
        <v>84</v>
      </c>
      <c r="D65" s="1" t="s">
        <v>59</v>
      </c>
      <c r="E65" s="1" t="s">
        <v>111</v>
      </c>
      <c r="F65" s="17"/>
      <c r="G65" s="111">
        <f>G66+G69</f>
        <v>9555703</v>
      </c>
      <c r="H65" s="111">
        <f>H66+H69</f>
        <v>-141813</v>
      </c>
      <c r="I65" s="111">
        <f t="shared" si="5"/>
        <v>9413890</v>
      </c>
      <c r="J65" s="136"/>
    </row>
    <row r="66" spans="1:10" ht="12.75" customHeight="1">
      <c r="A66" s="2" t="s">
        <v>68</v>
      </c>
      <c r="B66" s="1" t="s">
        <v>166</v>
      </c>
      <c r="C66" s="1" t="s">
        <v>84</v>
      </c>
      <c r="D66" s="1" t="s">
        <v>59</v>
      </c>
      <c r="E66" s="1" t="s">
        <v>112</v>
      </c>
      <c r="F66" s="17"/>
      <c r="G66" s="111">
        <f>SUM(G67:G68)</f>
        <v>9183803</v>
      </c>
      <c r="H66" s="111">
        <f>SUM(H67:H68)</f>
        <v>-141813</v>
      </c>
      <c r="I66" s="111">
        <f t="shared" si="5"/>
        <v>9041990</v>
      </c>
      <c r="J66" s="136"/>
    </row>
    <row r="67" spans="1:12" ht="38.25">
      <c r="A67" s="7" t="s">
        <v>280</v>
      </c>
      <c r="B67" s="1" t="s">
        <v>166</v>
      </c>
      <c r="C67" s="1" t="s">
        <v>84</v>
      </c>
      <c r="D67" s="1" t="s">
        <v>59</v>
      </c>
      <c r="E67" s="1" t="s">
        <v>112</v>
      </c>
      <c r="F67" s="17" t="s">
        <v>281</v>
      </c>
      <c r="G67" s="111">
        <v>9003803</v>
      </c>
      <c r="H67" s="111">
        <f>23187-165000</f>
        <v>-141813</v>
      </c>
      <c r="I67" s="111">
        <f t="shared" si="5"/>
        <v>8861990</v>
      </c>
      <c r="J67" s="136"/>
      <c r="L67" s="122">
        <v>165000</v>
      </c>
    </row>
    <row r="68" spans="1:10" ht="12.75">
      <c r="A68" s="7" t="s">
        <v>283</v>
      </c>
      <c r="B68" s="1" t="s">
        <v>166</v>
      </c>
      <c r="C68" s="1" t="s">
        <v>84</v>
      </c>
      <c r="D68" s="1" t="s">
        <v>59</v>
      </c>
      <c r="E68" s="1" t="s">
        <v>112</v>
      </c>
      <c r="F68" s="17" t="s">
        <v>282</v>
      </c>
      <c r="G68" s="111">
        <v>180000</v>
      </c>
      <c r="H68" s="111"/>
      <c r="I68" s="111">
        <f t="shared" si="5"/>
        <v>180000</v>
      </c>
      <c r="J68" s="136"/>
    </row>
    <row r="69" spans="1:10" ht="63.75">
      <c r="A69" s="13" t="s">
        <v>172</v>
      </c>
      <c r="B69" s="1" t="s">
        <v>166</v>
      </c>
      <c r="C69" s="1" t="s">
        <v>84</v>
      </c>
      <c r="D69" s="1" t="s">
        <v>59</v>
      </c>
      <c r="E69" s="63" t="s">
        <v>174</v>
      </c>
      <c r="F69" s="17"/>
      <c r="G69" s="111">
        <f>G70</f>
        <v>371900</v>
      </c>
      <c r="H69" s="111">
        <f>H70</f>
        <v>0</v>
      </c>
      <c r="I69" s="111">
        <f t="shared" si="5"/>
        <v>371900</v>
      </c>
      <c r="J69" s="136"/>
    </row>
    <row r="70" spans="1:10" ht="12.75">
      <c r="A70" s="7" t="s">
        <v>283</v>
      </c>
      <c r="B70" s="1" t="s">
        <v>166</v>
      </c>
      <c r="C70" s="1" t="s">
        <v>84</v>
      </c>
      <c r="D70" s="1" t="s">
        <v>59</v>
      </c>
      <c r="E70" s="63" t="s">
        <v>174</v>
      </c>
      <c r="F70" s="17" t="s">
        <v>282</v>
      </c>
      <c r="G70" s="111">
        <v>371900</v>
      </c>
      <c r="H70" s="111"/>
      <c r="I70" s="111">
        <f t="shared" si="5"/>
        <v>371900</v>
      </c>
      <c r="J70" s="136"/>
    </row>
    <row r="71" spans="1:10" ht="12.75">
      <c r="A71" s="2" t="s">
        <v>238</v>
      </c>
      <c r="B71" s="1" t="s">
        <v>166</v>
      </c>
      <c r="C71" s="1" t="s">
        <v>84</v>
      </c>
      <c r="D71" s="1" t="s">
        <v>59</v>
      </c>
      <c r="E71" s="1" t="s">
        <v>34</v>
      </c>
      <c r="F71" s="17"/>
      <c r="G71" s="111">
        <f>G72</f>
        <v>796962.05</v>
      </c>
      <c r="H71" s="111">
        <f>H72</f>
        <v>159866.65999999997</v>
      </c>
      <c r="I71" s="111">
        <f t="shared" si="5"/>
        <v>956828.71</v>
      </c>
      <c r="J71" s="136"/>
    </row>
    <row r="72" spans="1:10" ht="25.5">
      <c r="A72" s="2" t="s">
        <v>237</v>
      </c>
      <c r="B72" s="1" t="s">
        <v>166</v>
      </c>
      <c r="C72" s="1" t="s">
        <v>84</v>
      </c>
      <c r="D72" s="1" t="s">
        <v>59</v>
      </c>
      <c r="E72" s="1" t="s">
        <v>35</v>
      </c>
      <c r="F72" s="17"/>
      <c r="G72" s="111">
        <f>SUM(G73:G74)</f>
        <v>796962.05</v>
      </c>
      <c r="H72" s="111">
        <f>SUM(H73:H74)</f>
        <v>159866.65999999997</v>
      </c>
      <c r="I72" s="111">
        <f t="shared" si="5"/>
        <v>956828.71</v>
      </c>
      <c r="J72" s="136"/>
    </row>
    <row r="73" spans="1:12" ht="12.75" customHeight="1">
      <c r="A73" s="15" t="s">
        <v>286</v>
      </c>
      <c r="B73" s="1" t="s">
        <v>166</v>
      </c>
      <c r="C73" s="1" t="s">
        <v>84</v>
      </c>
      <c r="D73" s="1" t="s">
        <v>59</v>
      </c>
      <c r="E73" s="1" t="s">
        <v>35</v>
      </c>
      <c r="F73" s="17" t="s">
        <v>285</v>
      </c>
      <c r="G73" s="111">
        <v>760562.05</v>
      </c>
      <c r="H73" s="111">
        <f>11593.03+74+25778.4+46000+13700+2789.98+7200+50000</f>
        <v>157135.40999999997</v>
      </c>
      <c r="I73" s="111">
        <f t="shared" si="5"/>
        <v>917697.46</v>
      </c>
      <c r="J73" s="136"/>
      <c r="K73">
        <f>11593.03+25778.4+46000+13700+2789.98+7200+50000</f>
        <v>157061.40999999997</v>
      </c>
      <c r="L73" s="122"/>
    </row>
    <row r="74" spans="1:11" ht="12.75" customHeight="1">
      <c r="A74" s="15" t="s">
        <v>240</v>
      </c>
      <c r="B74" s="1" t="s">
        <v>166</v>
      </c>
      <c r="C74" s="1" t="s">
        <v>84</v>
      </c>
      <c r="D74" s="1" t="s">
        <v>59</v>
      </c>
      <c r="E74" s="1" t="s">
        <v>35</v>
      </c>
      <c r="F74" s="17" t="s">
        <v>239</v>
      </c>
      <c r="G74" s="111">
        <v>36400</v>
      </c>
      <c r="H74" s="111">
        <f>2805.25-74</f>
        <v>2731.25</v>
      </c>
      <c r="I74" s="111">
        <f t="shared" si="5"/>
        <v>39131.25</v>
      </c>
      <c r="J74" s="136"/>
      <c r="K74">
        <v>2805.25</v>
      </c>
    </row>
    <row r="75" spans="1:10" ht="12.75" customHeight="1">
      <c r="A75" s="7" t="s">
        <v>419</v>
      </c>
      <c r="B75" s="61" t="s">
        <v>166</v>
      </c>
      <c r="C75" s="1" t="s">
        <v>84</v>
      </c>
      <c r="D75" s="1" t="s">
        <v>59</v>
      </c>
      <c r="E75" s="1" t="s">
        <v>42</v>
      </c>
      <c r="F75" s="17"/>
      <c r="G75" s="111">
        <f aca="true" t="shared" si="6" ref="G75:H77">G76</f>
        <v>572500</v>
      </c>
      <c r="H75" s="111">
        <f t="shared" si="6"/>
        <v>0</v>
      </c>
      <c r="I75" s="111">
        <f t="shared" si="5"/>
        <v>572500</v>
      </c>
      <c r="J75" s="136"/>
    </row>
    <row r="76" spans="1:10" ht="40.5" customHeight="1">
      <c r="A76" s="7" t="s">
        <v>101</v>
      </c>
      <c r="B76" s="61" t="s">
        <v>166</v>
      </c>
      <c r="C76" s="1" t="s">
        <v>84</v>
      </c>
      <c r="D76" s="1" t="s">
        <v>59</v>
      </c>
      <c r="E76" s="1" t="s">
        <v>43</v>
      </c>
      <c r="F76" s="17"/>
      <c r="G76" s="111">
        <f t="shared" si="6"/>
        <v>572500</v>
      </c>
      <c r="H76" s="111">
        <f t="shared" si="6"/>
        <v>0</v>
      </c>
      <c r="I76" s="111">
        <f t="shared" si="5"/>
        <v>572500</v>
      </c>
      <c r="J76" s="136"/>
    </row>
    <row r="77" spans="1:10" ht="66" customHeight="1">
      <c r="A77" s="2" t="s">
        <v>426</v>
      </c>
      <c r="B77" s="1" t="s">
        <v>166</v>
      </c>
      <c r="C77" s="1" t="s">
        <v>84</v>
      </c>
      <c r="D77" s="1" t="s">
        <v>59</v>
      </c>
      <c r="E77" s="3" t="s">
        <v>427</v>
      </c>
      <c r="F77" s="17"/>
      <c r="G77" s="111">
        <f t="shared" si="6"/>
        <v>572500</v>
      </c>
      <c r="H77" s="111">
        <f t="shared" si="6"/>
        <v>0</v>
      </c>
      <c r="I77" s="111">
        <f t="shared" si="5"/>
        <v>572500</v>
      </c>
      <c r="J77" s="136"/>
    </row>
    <row r="78" spans="1:13" ht="45" customHeight="1">
      <c r="A78" s="7" t="s">
        <v>280</v>
      </c>
      <c r="B78" s="1" t="s">
        <v>166</v>
      </c>
      <c r="C78" s="1" t="s">
        <v>84</v>
      </c>
      <c r="D78" s="1" t="s">
        <v>59</v>
      </c>
      <c r="E78" s="3" t="s">
        <v>427</v>
      </c>
      <c r="F78" s="17" t="s">
        <v>281</v>
      </c>
      <c r="G78" s="111">
        <v>572500</v>
      </c>
      <c r="H78" s="111"/>
      <c r="I78" s="111">
        <f t="shared" si="5"/>
        <v>572500</v>
      </c>
      <c r="J78" s="136"/>
      <c r="M78" s="122"/>
    </row>
    <row r="79" spans="1:10" ht="12.75" customHeight="1">
      <c r="A79" s="2" t="s">
        <v>147</v>
      </c>
      <c r="B79" s="1" t="s">
        <v>166</v>
      </c>
      <c r="C79" s="1" t="s">
        <v>84</v>
      </c>
      <c r="D79" s="1" t="s">
        <v>59</v>
      </c>
      <c r="E79" s="1" t="s">
        <v>148</v>
      </c>
      <c r="F79" s="17"/>
      <c r="G79" s="111">
        <f>+G80</f>
        <v>1211000</v>
      </c>
      <c r="H79" s="111">
        <f>+H80</f>
        <v>0</v>
      </c>
      <c r="I79" s="111">
        <f t="shared" si="5"/>
        <v>1211000</v>
      </c>
      <c r="J79" s="136"/>
    </row>
    <row r="80" spans="1:10" ht="38.25">
      <c r="A80" s="2" t="s">
        <v>349</v>
      </c>
      <c r="B80" s="1" t="s">
        <v>166</v>
      </c>
      <c r="C80" s="1" t="s">
        <v>84</v>
      </c>
      <c r="D80" s="1" t="s">
        <v>59</v>
      </c>
      <c r="E80" s="1" t="s">
        <v>284</v>
      </c>
      <c r="F80" s="17"/>
      <c r="G80" s="111">
        <f>SUM(G81:G82)</f>
        <v>1211000</v>
      </c>
      <c r="H80" s="111">
        <f>SUM(H81:H82)</f>
        <v>0</v>
      </c>
      <c r="I80" s="111">
        <f t="shared" si="5"/>
        <v>1211000</v>
      </c>
      <c r="J80" s="136"/>
    </row>
    <row r="81" spans="1:12" ht="12.75" customHeight="1">
      <c r="A81" s="15" t="s">
        <v>134</v>
      </c>
      <c r="B81" s="1" t="s">
        <v>166</v>
      </c>
      <c r="C81" s="1" t="s">
        <v>84</v>
      </c>
      <c r="D81" s="1" t="s">
        <v>59</v>
      </c>
      <c r="E81" s="1" t="s">
        <v>284</v>
      </c>
      <c r="F81" s="17" t="s">
        <v>133</v>
      </c>
      <c r="G81" s="111">
        <v>1000000</v>
      </c>
      <c r="H81" s="111"/>
      <c r="I81" s="111">
        <f t="shared" si="5"/>
        <v>1000000</v>
      </c>
      <c r="J81" s="136"/>
      <c r="L81" s="122"/>
    </row>
    <row r="82" spans="1:12" ht="12.75" customHeight="1">
      <c r="A82" s="7" t="s">
        <v>283</v>
      </c>
      <c r="B82" s="1" t="s">
        <v>166</v>
      </c>
      <c r="C82" s="1" t="s">
        <v>84</v>
      </c>
      <c r="D82" s="1" t="s">
        <v>59</v>
      </c>
      <c r="E82" s="1" t="s">
        <v>284</v>
      </c>
      <c r="F82" s="17" t="s">
        <v>282</v>
      </c>
      <c r="G82" s="111">
        <v>211000</v>
      </c>
      <c r="H82" s="111"/>
      <c r="I82" s="111">
        <f t="shared" si="5"/>
        <v>211000</v>
      </c>
      <c r="J82" s="136"/>
      <c r="L82" s="122"/>
    </row>
    <row r="83" spans="1:10" ht="12.75">
      <c r="A83" s="7"/>
      <c r="B83" s="52"/>
      <c r="C83" s="1"/>
      <c r="D83" s="1"/>
      <c r="E83" s="1"/>
      <c r="F83" s="17"/>
      <c r="G83" s="111"/>
      <c r="H83" s="111"/>
      <c r="I83" s="111"/>
      <c r="J83" s="136"/>
    </row>
    <row r="84" spans="1:10" ht="12.75">
      <c r="A84" s="4" t="s">
        <v>190</v>
      </c>
      <c r="B84" s="18" t="s">
        <v>166</v>
      </c>
      <c r="C84" s="19" t="s">
        <v>84</v>
      </c>
      <c r="D84" s="19" t="s">
        <v>54</v>
      </c>
      <c r="E84" s="19"/>
      <c r="F84" s="37"/>
      <c r="G84" s="109">
        <f>G85</f>
        <v>4405666</v>
      </c>
      <c r="H84" s="109">
        <f>H85</f>
        <v>15130.619999999999</v>
      </c>
      <c r="I84" s="109">
        <f>SUM(G84:H84)</f>
        <v>4420796.62</v>
      </c>
      <c r="J84" s="134"/>
    </row>
    <row r="85" spans="1:10" ht="38.25">
      <c r="A85" s="7" t="s">
        <v>91</v>
      </c>
      <c r="B85" s="1" t="s">
        <v>166</v>
      </c>
      <c r="C85" s="1" t="s">
        <v>84</v>
      </c>
      <c r="D85" s="1" t="s">
        <v>54</v>
      </c>
      <c r="E85" s="1" t="s">
        <v>92</v>
      </c>
      <c r="F85" s="17"/>
      <c r="G85" s="107">
        <f>SUM(G86)</f>
        <v>4405666</v>
      </c>
      <c r="H85" s="107">
        <f>SUM(H86)</f>
        <v>15130.619999999999</v>
      </c>
      <c r="I85" s="107">
        <f>SUM(G85:H85)</f>
        <v>4420796.62</v>
      </c>
      <c r="J85" s="137"/>
    </row>
    <row r="86" spans="1:10" ht="12.75">
      <c r="A86" s="2" t="s">
        <v>94</v>
      </c>
      <c r="B86" s="1" t="s">
        <v>166</v>
      </c>
      <c r="C86" s="1" t="s">
        <v>84</v>
      </c>
      <c r="D86" s="1" t="s">
        <v>54</v>
      </c>
      <c r="E86" s="1" t="s">
        <v>95</v>
      </c>
      <c r="F86" s="17"/>
      <c r="G86" s="111">
        <f>G87</f>
        <v>4405666</v>
      </c>
      <c r="H86" s="111">
        <f>H87</f>
        <v>15130.619999999999</v>
      </c>
      <c r="I86" s="107">
        <f>SUM(G86:H86)</f>
        <v>4420796.62</v>
      </c>
      <c r="J86" s="137"/>
    </row>
    <row r="87" spans="1:11" ht="12.75" customHeight="1">
      <c r="A87" s="15" t="s">
        <v>134</v>
      </c>
      <c r="B87" s="1" t="s">
        <v>166</v>
      </c>
      <c r="C87" s="1" t="s">
        <v>84</v>
      </c>
      <c r="D87" s="1" t="s">
        <v>54</v>
      </c>
      <c r="E87" s="1" t="s">
        <v>95</v>
      </c>
      <c r="F87" s="17" t="s">
        <v>133</v>
      </c>
      <c r="G87" s="111">
        <v>4405666</v>
      </c>
      <c r="H87" s="111">
        <f>476.92+1439+9903+3311.7</f>
        <v>15130.619999999999</v>
      </c>
      <c r="I87" s="107">
        <f>SUM(G87:H87)</f>
        <v>4420796.62</v>
      </c>
      <c r="J87" s="137"/>
      <c r="K87">
        <f>476.92+9903+3311.7</f>
        <v>13691.619999999999</v>
      </c>
    </row>
    <row r="88" spans="1:10" ht="12.75">
      <c r="A88" s="15"/>
      <c r="B88" s="61"/>
      <c r="C88" s="1"/>
      <c r="D88" s="1"/>
      <c r="E88" s="1"/>
      <c r="F88" s="17"/>
      <c r="G88" s="111"/>
      <c r="H88" s="111"/>
      <c r="I88" s="111"/>
      <c r="J88" s="136"/>
    </row>
    <row r="89" spans="1:10" ht="15.75">
      <c r="A89" s="34" t="s">
        <v>22</v>
      </c>
      <c r="B89" s="35" t="s">
        <v>166</v>
      </c>
      <c r="C89" s="41" t="s">
        <v>88</v>
      </c>
      <c r="D89" s="1"/>
      <c r="E89" s="1"/>
      <c r="F89" s="17"/>
      <c r="G89" s="108">
        <f>G90</f>
        <v>1010779</v>
      </c>
      <c r="H89" s="108">
        <f>H90</f>
        <v>1000</v>
      </c>
      <c r="I89" s="108">
        <f aca="true" t="shared" si="7" ref="I89:I94">SUM(G89:H89)</f>
        <v>1011779</v>
      </c>
      <c r="J89" s="133"/>
    </row>
    <row r="90" spans="1:10" ht="12.75">
      <c r="A90" s="4" t="s">
        <v>27</v>
      </c>
      <c r="B90" s="18" t="s">
        <v>166</v>
      </c>
      <c r="C90" s="19" t="s">
        <v>88</v>
      </c>
      <c r="D90" s="19" t="s">
        <v>41</v>
      </c>
      <c r="E90" s="1"/>
      <c r="F90" s="17"/>
      <c r="G90" s="109">
        <f>SUM(G91+G95+G101+G98)</f>
        <v>1010779</v>
      </c>
      <c r="H90" s="109">
        <f>SUM(H91+H95+H101+H98)</f>
        <v>1000</v>
      </c>
      <c r="I90" s="109">
        <f t="shared" si="7"/>
        <v>1011779</v>
      </c>
      <c r="J90" s="134"/>
    </row>
    <row r="91" spans="1:10" ht="12.75">
      <c r="A91" s="2" t="s">
        <v>392</v>
      </c>
      <c r="B91" s="14" t="s">
        <v>166</v>
      </c>
      <c r="C91" s="1" t="s">
        <v>88</v>
      </c>
      <c r="D91" s="1" t="s">
        <v>41</v>
      </c>
      <c r="E91" s="1" t="s">
        <v>393</v>
      </c>
      <c r="F91" s="17"/>
      <c r="G91" s="107">
        <f aca="true" t="shared" si="8" ref="G91:H93">G92</f>
        <v>167832</v>
      </c>
      <c r="H91" s="107">
        <f t="shared" si="8"/>
        <v>0</v>
      </c>
      <c r="I91" s="107">
        <f t="shared" si="7"/>
        <v>167832</v>
      </c>
      <c r="J91" s="137"/>
    </row>
    <row r="92" spans="1:10" ht="25.5">
      <c r="A92" s="2" t="s">
        <v>394</v>
      </c>
      <c r="B92" s="14" t="s">
        <v>166</v>
      </c>
      <c r="C92" s="1" t="s">
        <v>88</v>
      </c>
      <c r="D92" s="1" t="s">
        <v>41</v>
      </c>
      <c r="E92" s="1" t="s">
        <v>395</v>
      </c>
      <c r="F92" s="17"/>
      <c r="G92" s="107">
        <f t="shared" si="8"/>
        <v>167832</v>
      </c>
      <c r="H92" s="107">
        <f t="shared" si="8"/>
        <v>0</v>
      </c>
      <c r="I92" s="107">
        <f t="shared" si="7"/>
        <v>167832</v>
      </c>
      <c r="J92" s="137"/>
    </row>
    <row r="93" spans="1:10" ht="12.75">
      <c r="A93" s="2" t="s">
        <v>396</v>
      </c>
      <c r="B93" s="14" t="s">
        <v>166</v>
      </c>
      <c r="C93" s="1" t="s">
        <v>88</v>
      </c>
      <c r="D93" s="1" t="s">
        <v>41</v>
      </c>
      <c r="E93" s="1" t="s">
        <v>397</v>
      </c>
      <c r="F93" s="17"/>
      <c r="G93" s="107">
        <f t="shared" si="8"/>
        <v>167832</v>
      </c>
      <c r="H93" s="107">
        <f t="shared" si="8"/>
        <v>0</v>
      </c>
      <c r="I93" s="107">
        <f t="shared" si="7"/>
        <v>167832</v>
      </c>
      <c r="J93" s="137"/>
    </row>
    <row r="94" spans="1:11" ht="12.75">
      <c r="A94" s="2" t="s">
        <v>10</v>
      </c>
      <c r="B94" s="14" t="s">
        <v>166</v>
      </c>
      <c r="C94" s="1" t="s">
        <v>88</v>
      </c>
      <c r="D94" s="1" t="s">
        <v>41</v>
      </c>
      <c r="E94" s="1" t="s">
        <v>397</v>
      </c>
      <c r="F94" s="17" t="s">
        <v>56</v>
      </c>
      <c r="G94" s="107">
        <v>167832</v>
      </c>
      <c r="H94" s="107"/>
      <c r="I94" s="107">
        <f t="shared" si="7"/>
        <v>167832</v>
      </c>
      <c r="J94" s="137"/>
      <c r="K94" s="122"/>
    </row>
    <row r="95" spans="1:10" ht="12.75">
      <c r="A95" s="7" t="s">
        <v>29</v>
      </c>
      <c r="B95" s="1" t="s">
        <v>166</v>
      </c>
      <c r="C95" s="1" t="s">
        <v>88</v>
      </c>
      <c r="D95" s="1" t="s">
        <v>41</v>
      </c>
      <c r="E95" s="1" t="s">
        <v>30</v>
      </c>
      <c r="F95" s="17"/>
      <c r="G95" s="107">
        <f>G96</f>
        <v>30400</v>
      </c>
      <c r="H95" s="107">
        <f>H96</f>
        <v>1000</v>
      </c>
      <c r="I95" s="107">
        <f aca="true" t="shared" si="9" ref="I95:I103">SUM(G95:H95)</f>
        <v>31400</v>
      </c>
      <c r="J95" s="137"/>
    </row>
    <row r="96" spans="1:10" ht="12.75">
      <c r="A96" s="2" t="s">
        <v>28</v>
      </c>
      <c r="B96" s="1" t="s">
        <v>166</v>
      </c>
      <c r="C96" s="1" t="s">
        <v>88</v>
      </c>
      <c r="D96" s="1" t="s">
        <v>41</v>
      </c>
      <c r="E96" s="1" t="s">
        <v>31</v>
      </c>
      <c r="F96" s="17"/>
      <c r="G96" s="107">
        <f>G97</f>
        <v>30400</v>
      </c>
      <c r="H96" s="107">
        <f>H97</f>
        <v>1000</v>
      </c>
      <c r="I96" s="107">
        <f t="shared" si="9"/>
        <v>31400</v>
      </c>
      <c r="J96" s="137"/>
    </row>
    <row r="97" spans="1:10" ht="12.75">
      <c r="A97" s="2" t="s">
        <v>66</v>
      </c>
      <c r="B97" s="1" t="s">
        <v>166</v>
      </c>
      <c r="C97" s="1" t="s">
        <v>88</v>
      </c>
      <c r="D97" s="1" t="s">
        <v>41</v>
      </c>
      <c r="E97" s="1" t="s">
        <v>31</v>
      </c>
      <c r="F97" s="17" t="s">
        <v>36</v>
      </c>
      <c r="G97" s="107">
        <v>30400</v>
      </c>
      <c r="H97" s="107">
        <v>1000</v>
      </c>
      <c r="I97" s="107">
        <f t="shared" si="9"/>
        <v>31400</v>
      </c>
      <c r="J97" s="137"/>
    </row>
    <row r="98" spans="1:10" ht="12.75">
      <c r="A98" s="2" t="s">
        <v>140</v>
      </c>
      <c r="B98" s="14" t="s">
        <v>166</v>
      </c>
      <c r="C98" s="1" t="s">
        <v>88</v>
      </c>
      <c r="D98" s="1" t="s">
        <v>41</v>
      </c>
      <c r="E98" s="1" t="s">
        <v>141</v>
      </c>
      <c r="F98" s="17"/>
      <c r="G98" s="107">
        <f>G99</f>
        <v>218484</v>
      </c>
      <c r="H98" s="107">
        <f>H99</f>
        <v>0</v>
      </c>
      <c r="I98" s="107">
        <f t="shared" si="9"/>
        <v>218484</v>
      </c>
      <c r="J98" s="137"/>
    </row>
    <row r="99" spans="1:10" ht="29.25" customHeight="1">
      <c r="A99" s="2" t="s">
        <v>403</v>
      </c>
      <c r="B99" s="14" t="s">
        <v>166</v>
      </c>
      <c r="C99" s="1" t="s">
        <v>88</v>
      </c>
      <c r="D99" s="1" t="s">
        <v>41</v>
      </c>
      <c r="E99" s="1" t="s">
        <v>402</v>
      </c>
      <c r="F99" s="17"/>
      <c r="G99" s="107">
        <f>G100</f>
        <v>218484</v>
      </c>
      <c r="H99" s="107">
        <f>H100</f>
        <v>0</v>
      </c>
      <c r="I99" s="107">
        <f t="shared" si="9"/>
        <v>218484</v>
      </c>
      <c r="J99" s="137"/>
    </row>
    <row r="100" spans="1:11" ht="12.75">
      <c r="A100" s="2" t="s">
        <v>10</v>
      </c>
      <c r="B100" s="14" t="s">
        <v>166</v>
      </c>
      <c r="C100" s="1" t="s">
        <v>88</v>
      </c>
      <c r="D100" s="1" t="s">
        <v>41</v>
      </c>
      <c r="E100" s="1" t="s">
        <v>402</v>
      </c>
      <c r="F100" s="17" t="s">
        <v>56</v>
      </c>
      <c r="G100" s="107">
        <v>218484</v>
      </c>
      <c r="H100" s="107"/>
      <c r="I100" s="107">
        <f t="shared" si="9"/>
        <v>218484</v>
      </c>
      <c r="J100" s="137"/>
      <c r="K100" s="122"/>
    </row>
    <row r="101" spans="1:10" ht="12.75">
      <c r="A101" s="2" t="s">
        <v>147</v>
      </c>
      <c r="B101" s="1" t="s">
        <v>166</v>
      </c>
      <c r="C101" s="1" t="s">
        <v>88</v>
      </c>
      <c r="D101" s="1" t="s">
        <v>41</v>
      </c>
      <c r="E101" s="1" t="s">
        <v>148</v>
      </c>
      <c r="F101" s="17"/>
      <c r="G101" s="111">
        <f>SUM(G102)</f>
        <v>594063</v>
      </c>
      <c r="H101" s="111">
        <f>SUM(H102)</f>
        <v>0</v>
      </c>
      <c r="I101" s="107">
        <f t="shared" si="9"/>
        <v>594063</v>
      </c>
      <c r="J101" s="137"/>
    </row>
    <row r="102" spans="1:10" ht="38.25" customHeight="1">
      <c r="A102" s="2" t="s">
        <v>265</v>
      </c>
      <c r="B102" s="1" t="s">
        <v>166</v>
      </c>
      <c r="C102" s="1" t="s">
        <v>13</v>
      </c>
      <c r="D102" s="1" t="s">
        <v>41</v>
      </c>
      <c r="E102" s="1" t="s">
        <v>223</v>
      </c>
      <c r="F102" s="17"/>
      <c r="G102" s="111">
        <f>G103</f>
        <v>594063</v>
      </c>
      <c r="H102" s="111">
        <f>H103</f>
        <v>0</v>
      </c>
      <c r="I102" s="107">
        <f t="shared" si="9"/>
        <v>594063</v>
      </c>
      <c r="J102" s="137"/>
    </row>
    <row r="103" spans="1:12" ht="12.75">
      <c r="A103" s="15" t="s">
        <v>10</v>
      </c>
      <c r="B103" s="1" t="s">
        <v>166</v>
      </c>
      <c r="C103" s="1" t="s">
        <v>13</v>
      </c>
      <c r="D103" s="1" t="s">
        <v>41</v>
      </c>
      <c r="E103" s="1" t="s">
        <v>223</v>
      </c>
      <c r="F103" s="17" t="s">
        <v>56</v>
      </c>
      <c r="G103" s="111">
        <v>594063</v>
      </c>
      <c r="H103" s="111"/>
      <c r="I103" s="107">
        <f t="shared" si="9"/>
        <v>594063</v>
      </c>
      <c r="J103" s="137"/>
      <c r="L103" s="122"/>
    </row>
    <row r="104" spans="1:10" ht="12.75">
      <c r="A104" s="96"/>
      <c r="B104" s="97"/>
      <c r="C104" s="98"/>
      <c r="D104" s="98"/>
      <c r="E104" s="98"/>
      <c r="F104" s="99"/>
      <c r="G104" s="115"/>
      <c r="H104" s="115"/>
      <c r="I104" s="115"/>
      <c r="J104" s="136"/>
    </row>
    <row r="105" spans="1:10" ht="15.75">
      <c r="A105" s="45" t="s">
        <v>18</v>
      </c>
      <c r="B105" s="41" t="s">
        <v>166</v>
      </c>
      <c r="C105" s="41" t="s">
        <v>58</v>
      </c>
      <c r="D105" s="1"/>
      <c r="E105" s="1"/>
      <c r="F105" s="17"/>
      <c r="G105" s="108">
        <f>G106</f>
        <v>1199200</v>
      </c>
      <c r="H105" s="108">
        <f>H106</f>
        <v>-195000</v>
      </c>
      <c r="I105" s="108">
        <f>SUM(G105:H105)</f>
        <v>1004200</v>
      </c>
      <c r="J105" s="133"/>
    </row>
    <row r="106" spans="1:10" ht="12.75">
      <c r="A106" s="33" t="s">
        <v>191</v>
      </c>
      <c r="B106" s="18" t="s">
        <v>166</v>
      </c>
      <c r="C106" s="18" t="s">
        <v>58</v>
      </c>
      <c r="D106" s="18" t="s">
        <v>59</v>
      </c>
      <c r="E106" s="18"/>
      <c r="F106" s="40"/>
      <c r="G106" s="109">
        <f>G107+G110</f>
        <v>1199200</v>
      </c>
      <c r="H106" s="109">
        <f>H107+H110</f>
        <v>-195000</v>
      </c>
      <c r="I106" s="109">
        <f>SUM(G106:H106)</f>
        <v>1004200</v>
      </c>
      <c r="J106" s="134"/>
    </row>
    <row r="107" spans="1:10" ht="25.5">
      <c r="A107" s="2" t="s">
        <v>19</v>
      </c>
      <c r="B107" s="1" t="s">
        <v>166</v>
      </c>
      <c r="C107" s="1" t="s">
        <v>58</v>
      </c>
      <c r="D107" s="1" t="s">
        <v>59</v>
      </c>
      <c r="E107" s="1" t="s">
        <v>20</v>
      </c>
      <c r="F107" s="17"/>
      <c r="G107" s="111">
        <f>G108</f>
        <v>1199200</v>
      </c>
      <c r="H107" s="111">
        <f>H108</f>
        <v>-195000</v>
      </c>
      <c r="I107" s="107">
        <f aca="true" t="shared" si="10" ref="I107:I112">SUM(G107:H107)</f>
        <v>1004200</v>
      </c>
      <c r="J107" s="137"/>
    </row>
    <row r="108" spans="1:10" ht="25.5">
      <c r="A108" s="2" t="s">
        <v>228</v>
      </c>
      <c r="B108" s="1" t="s">
        <v>166</v>
      </c>
      <c r="C108" s="1" t="s">
        <v>58</v>
      </c>
      <c r="D108" s="1" t="s">
        <v>59</v>
      </c>
      <c r="E108" s="1" t="s">
        <v>21</v>
      </c>
      <c r="F108" s="17"/>
      <c r="G108" s="111">
        <f>G109</f>
        <v>1199200</v>
      </c>
      <c r="H108" s="111">
        <f>H109</f>
        <v>-195000</v>
      </c>
      <c r="I108" s="107">
        <f t="shared" si="10"/>
        <v>1004200</v>
      </c>
      <c r="J108" s="137"/>
    </row>
    <row r="109" spans="1:12" ht="12.75" customHeight="1">
      <c r="A109" s="15" t="s">
        <v>134</v>
      </c>
      <c r="B109" s="1" t="s">
        <v>166</v>
      </c>
      <c r="C109" s="1" t="s">
        <v>58</v>
      </c>
      <c r="D109" s="1" t="s">
        <v>59</v>
      </c>
      <c r="E109" s="1" t="s">
        <v>21</v>
      </c>
      <c r="F109" s="17" t="s">
        <v>133</v>
      </c>
      <c r="G109" s="111">
        <v>1199200</v>
      </c>
      <c r="H109" s="111">
        <f>5000-200000</f>
        <v>-195000</v>
      </c>
      <c r="I109" s="107">
        <f t="shared" si="10"/>
        <v>1004200</v>
      </c>
      <c r="J109" s="137"/>
      <c r="L109" s="122"/>
    </row>
    <row r="110" spans="1:10" ht="12.75">
      <c r="A110" s="2" t="s">
        <v>147</v>
      </c>
      <c r="B110" s="1" t="s">
        <v>166</v>
      </c>
      <c r="C110" s="1" t="s">
        <v>58</v>
      </c>
      <c r="D110" s="1" t="s">
        <v>59</v>
      </c>
      <c r="E110" s="1" t="s">
        <v>148</v>
      </c>
      <c r="F110" s="17"/>
      <c r="G110" s="111">
        <f>G111</f>
        <v>0</v>
      </c>
      <c r="H110" s="111">
        <f>H111</f>
        <v>0</v>
      </c>
      <c r="I110" s="107">
        <f t="shared" si="10"/>
        <v>0</v>
      </c>
      <c r="J110" s="137"/>
    </row>
    <row r="111" spans="1:10" ht="25.5">
      <c r="A111" s="65" t="s">
        <v>297</v>
      </c>
      <c r="B111" s="1" t="s">
        <v>166</v>
      </c>
      <c r="C111" s="1" t="s">
        <v>58</v>
      </c>
      <c r="D111" s="1" t="s">
        <v>59</v>
      </c>
      <c r="E111" s="1" t="s">
        <v>227</v>
      </c>
      <c r="F111" s="17"/>
      <c r="G111" s="111">
        <f>G112</f>
        <v>0</v>
      </c>
      <c r="H111" s="111">
        <f>H112</f>
        <v>0</v>
      </c>
      <c r="I111" s="107">
        <f t="shared" si="10"/>
        <v>0</v>
      </c>
      <c r="J111" s="137"/>
    </row>
    <row r="112" spans="1:10" ht="12.75">
      <c r="A112" s="15" t="s">
        <v>150</v>
      </c>
      <c r="B112" s="1" t="s">
        <v>166</v>
      </c>
      <c r="C112" s="1" t="s">
        <v>58</v>
      </c>
      <c r="D112" s="1" t="s">
        <v>59</v>
      </c>
      <c r="E112" s="1" t="s">
        <v>227</v>
      </c>
      <c r="F112" s="17" t="s">
        <v>149</v>
      </c>
      <c r="G112" s="111">
        <v>0</v>
      </c>
      <c r="H112" s="111"/>
      <c r="I112" s="107">
        <f t="shared" si="10"/>
        <v>0</v>
      </c>
      <c r="J112" s="137"/>
    </row>
    <row r="113" spans="1:10" ht="12.75">
      <c r="A113" s="15"/>
      <c r="B113" s="1"/>
      <c r="C113" s="1"/>
      <c r="D113" s="1"/>
      <c r="E113" s="1"/>
      <c r="F113" s="17"/>
      <c r="G113" s="111"/>
      <c r="H113" s="111"/>
      <c r="I113" s="111"/>
      <c r="J113" s="136"/>
    </row>
    <row r="114" spans="1:10" ht="15.75">
      <c r="A114" s="45" t="s">
        <v>229</v>
      </c>
      <c r="B114" s="41" t="s">
        <v>166</v>
      </c>
      <c r="C114" s="41" t="s">
        <v>89</v>
      </c>
      <c r="D114" s="1"/>
      <c r="E114" s="1"/>
      <c r="F114" s="17"/>
      <c r="G114" s="108">
        <f aca="true" t="shared" si="11" ref="G114:H117">+G115</f>
        <v>297600</v>
      </c>
      <c r="H114" s="108">
        <f t="shared" si="11"/>
        <v>0</v>
      </c>
      <c r="I114" s="108">
        <f>SUM(G114:H114)</f>
        <v>297600</v>
      </c>
      <c r="J114" s="133"/>
    </row>
    <row r="115" spans="1:10" ht="12.75">
      <c r="A115" s="33" t="s">
        <v>230</v>
      </c>
      <c r="B115" s="18" t="s">
        <v>166</v>
      </c>
      <c r="C115" s="18" t="s">
        <v>89</v>
      </c>
      <c r="D115" s="18" t="s">
        <v>59</v>
      </c>
      <c r="E115" s="18"/>
      <c r="F115" s="40"/>
      <c r="G115" s="109">
        <f t="shared" si="11"/>
        <v>297600</v>
      </c>
      <c r="H115" s="109">
        <f t="shared" si="11"/>
        <v>0</v>
      </c>
      <c r="I115" s="109">
        <f>SUM(G115:H115)</f>
        <v>297600</v>
      </c>
      <c r="J115" s="134"/>
    </row>
    <row r="116" spans="1:10" ht="12.75">
      <c r="A116" s="15" t="s">
        <v>232</v>
      </c>
      <c r="B116" s="1" t="s">
        <v>166</v>
      </c>
      <c r="C116" s="1" t="s">
        <v>89</v>
      </c>
      <c r="D116" s="1" t="s">
        <v>59</v>
      </c>
      <c r="E116" s="1" t="s">
        <v>231</v>
      </c>
      <c r="F116" s="17"/>
      <c r="G116" s="111">
        <f t="shared" si="11"/>
        <v>297600</v>
      </c>
      <c r="H116" s="111">
        <f t="shared" si="11"/>
        <v>0</v>
      </c>
      <c r="I116" s="107">
        <f>SUM(G116:H116)</f>
        <v>297600</v>
      </c>
      <c r="J116" s="137"/>
    </row>
    <row r="117" spans="1:10" ht="12.75">
      <c r="A117" s="15" t="s">
        <v>235</v>
      </c>
      <c r="B117" s="1" t="s">
        <v>166</v>
      </c>
      <c r="C117" s="1" t="s">
        <v>89</v>
      </c>
      <c r="D117" s="1" t="s">
        <v>59</v>
      </c>
      <c r="E117" s="1" t="s">
        <v>234</v>
      </c>
      <c r="F117" s="17"/>
      <c r="G117" s="111">
        <f t="shared" si="11"/>
        <v>297600</v>
      </c>
      <c r="H117" s="111">
        <f t="shared" si="11"/>
        <v>0</v>
      </c>
      <c r="I117" s="107">
        <f>SUM(G117:H117)</f>
        <v>297600</v>
      </c>
      <c r="J117" s="137"/>
    </row>
    <row r="118" spans="1:10" ht="12.75">
      <c r="A118" s="2" t="s">
        <v>236</v>
      </c>
      <c r="B118" s="1" t="s">
        <v>166</v>
      </c>
      <c r="C118" s="1" t="s">
        <v>89</v>
      </c>
      <c r="D118" s="1" t="s">
        <v>59</v>
      </c>
      <c r="E118" s="1" t="s">
        <v>234</v>
      </c>
      <c r="F118" s="17" t="s">
        <v>233</v>
      </c>
      <c r="G118" s="111">
        <v>297600</v>
      </c>
      <c r="H118" s="111"/>
      <c r="I118" s="107">
        <f>SUM(G118:H118)</f>
        <v>297600</v>
      </c>
      <c r="J118" s="137"/>
    </row>
    <row r="119" spans="1:10" ht="12.75">
      <c r="A119" s="2"/>
      <c r="B119" s="1"/>
      <c r="C119" s="1"/>
      <c r="D119" s="1"/>
      <c r="E119" s="1"/>
      <c r="F119" s="17"/>
      <c r="G119" s="111"/>
      <c r="H119" s="111"/>
      <c r="I119" s="111"/>
      <c r="J119" s="136"/>
    </row>
    <row r="120" spans="1:10" ht="32.25" customHeight="1">
      <c r="A120" s="60" t="s">
        <v>164</v>
      </c>
      <c r="B120" s="59" t="s">
        <v>165</v>
      </c>
      <c r="C120" s="57"/>
      <c r="D120" s="57"/>
      <c r="E120" s="58"/>
      <c r="F120" s="56"/>
      <c r="G120" s="114">
        <f>SUM(G126+G200+G121+G220)</f>
        <v>226362741.17</v>
      </c>
      <c r="H120" s="114">
        <f>SUM(H126+H200+H121+H220)</f>
        <v>18518460.78</v>
      </c>
      <c r="I120" s="114">
        <f aca="true" t="shared" si="12" ref="I120:I127">SUM(G120:H120)</f>
        <v>244881201.95</v>
      </c>
      <c r="J120" s="132"/>
    </row>
    <row r="121" spans="1:10" ht="17.25" customHeight="1">
      <c r="A121" s="34" t="s">
        <v>90</v>
      </c>
      <c r="B121" s="41" t="s">
        <v>165</v>
      </c>
      <c r="C121" s="41" t="s">
        <v>59</v>
      </c>
      <c r="D121" s="42"/>
      <c r="E121" s="49"/>
      <c r="F121" s="17"/>
      <c r="G121" s="108">
        <f aca="true" t="shared" si="13" ref="G121:H124">G122</f>
        <v>39839.17</v>
      </c>
      <c r="H121" s="108">
        <f t="shared" si="13"/>
        <v>0</v>
      </c>
      <c r="I121" s="108">
        <f t="shared" si="12"/>
        <v>39839.17</v>
      </c>
      <c r="J121" s="133"/>
    </row>
    <row r="122" spans="1:10" ht="51.75" customHeight="1">
      <c r="A122" s="33" t="s">
        <v>11</v>
      </c>
      <c r="B122" s="18" t="s">
        <v>165</v>
      </c>
      <c r="C122" s="19" t="s">
        <v>59</v>
      </c>
      <c r="D122" s="19" t="s">
        <v>54</v>
      </c>
      <c r="E122" s="49"/>
      <c r="F122" s="17"/>
      <c r="G122" s="109">
        <f t="shared" si="13"/>
        <v>39839.17</v>
      </c>
      <c r="H122" s="109">
        <f t="shared" si="13"/>
        <v>0</v>
      </c>
      <c r="I122" s="109">
        <f t="shared" si="12"/>
        <v>39839.17</v>
      </c>
      <c r="J122" s="134"/>
    </row>
    <row r="123" spans="1:10" ht="36.75" customHeight="1">
      <c r="A123" s="15" t="s">
        <v>61</v>
      </c>
      <c r="B123" s="1" t="s">
        <v>165</v>
      </c>
      <c r="C123" s="1" t="s">
        <v>59</v>
      </c>
      <c r="D123" s="1" t="s">
        <v>54</v>
      </c>
      <c r="E123" s="1" t="s">
        <v>92</v>
      </c>
      <c r="F123" s="17"/>
      <c r="G123" s="107">
        <f t="shared" si="13"/>
        <v>39839.17</v>
      </c>
      <c r="H123" s="107">
        <f t="shared" si="13"/>
        <v>0</v>
      </c>
      <c r="I123" s="107">
        <f t="shared" si="12"/>
        <v>39839.17</v>
      </c>
      <c r="J123" s="137"/>
    </row>
    <row r="124" spans="1:10" ht="20.25" customHeight="1">
      <c r="A124" s="15" t="s">
        <v>94</v>
      </c>
      <c r="B124" s="1" t="s">
        <v>165</v>
      </c>
      <c r="C124" s="1" t="s">
        <v>59</v>
      </c>
      <c r="D124" s="1" t="s">
        <v>54</v>
      </c>
      <c r="E124" s="1" t="s">
        <v>95</v>
      </c>
      <c r="F124" s="17"/>
      <c r="G124" s="107">
        <f t="shared" si="13"/>
        <v>39839.17</v>
      </c>
      <c r="H124" s="107">
        <f t="shared" si="13"/>
        <v>0</v>
      </c>
      <c r="I124" s="107">
        <f t="shared" si="12"/>
        <v>39839.17</v>
      </c>
      <c r="J124" s="137"/>
    </row>
    <row r="125" spans="1:12" ht="17.25" customHeight="1">
      <c r="A125" s="15" t="s">
        <v>66</v>
      </c>
      <c r="B125" s="1" t="s">
        <v>165</v>
      </c>
      <c r="C125" s="1" t="s">
        <v>59</v>
      </c>
      <c r="D125" s="1" t="s">
        <v>54</v>
      </c>
      <c r="E125" s="1" t="s">
        <v>95</v>
      </c>
      <c r="F125" s="17" t="s">
        <v>36</v>
      </c>
      <c r="G125" s="107">
        <v>39839.17</v>
      </c>
      <c r="H125" s="107"/>
      <c r="I125" s="107">
        <f t="shared" si="12"/>
        <v>39839.17</v>
      </c>
      <c r="J125" s="137"/>
      <c r="L125" s="123"/>
    </row>
    <row r="126" spans="1:10" ht="15.75">
      <c r="A126" s="34" t="s">
        <v>77</v>
      </c>
      <c r="B126" s="41" t="s">
        <v>165</v>
      </c>
      <c r="C126" s="41" t="s">
        <v>16</v>
      </c>
      <c r="D126" s="42"/>
      <c r="E126" s="42"/>
      <c r="F126" s="43"/>
      <c r="G126" s="108">
        <f>SUM(G127+G141+G175+G191)</f>
        <v>215531902</v>
      </c>
      <c r="H126" s="108">
        <f>SUM(H127+H141+H175+H191)</f>
        <v>17474460.78</v>
      </c>
      <c r="I126" s="108">
        <f t="shared" si="12"/>
        <v>233006362.78</v>
      </c>
      <c r="J126" s="133"/>
    </row>
    <row r="127" spans="1:10" ht="12.75">
      <c r="A127" s="4" t="s">
        <v>32</v>
      </c>
      <c r="B127" s="18" t="s">
        <v>165</v>
      </c>
      <c r="C127" s="18" t="s">
        <v>16</v>
      </c>
      <c r="D127" s="18" t="s">
        <v>59</v>
      </c>
      <c r="E127" s="18"/>
      <c r="F127" s="40"/>
      <c r="G127" s="109">
        <f>SUM(G128+G132+G136)</f>
        <v>45800513</v>
      </c>
      <c r="H127" s="109">
        <f>SUM(H128+H132+H136)</f>
        <v>195700</v>
      </c>
      <c r="I127" s="109">
        <f t="shared" si="12"/>
        <v>45996213</v>
      </c>
      <c r="J127" s="134"/>
    </row>
    <row r="128" spans="1:10" ht="12.75">
      <c r="A128" s="7" t="s">
        <v>113</v>
      </c>
      <c r="B128" s="1" t="s">
        <v>165</v>
      </c>
      <c r="C128" s="1" t="s">
        <v>16</v>
      </c>
      <c r="D128" s="1" t="s">
        <v>59</v>
      </c>
      <c r="E128" s="1" t="s">
        <v>114</v>
      </c>
      <c r="F128" s="17"/>
      <c r="G128" s="107">
        <f>G129</f>
        <v>10845542</v>
      </c>
      <c r="H128" s="107">
        <f>H129</f>
        <v>0</v>
      </c>
      <c r="I128" s="107">
        <f aca="true" t="shared" si="14" ref="I128:I139">SUM(G128:H128)</f>
        <v>10845542</v>
      </c>
      <c r="J128" s="137"/>
    </row>
    <row r="129" spans="1:10" ht="12.75" customHeight="1">
      <c r="A129" s="2" t="s">
        <v>68</v>
      </c>
      <c r="B129" s="1" t="s">
        <v>165</v>
      </c>
      <c r="C129" s="1" t="s">
        <v>16</v>
      </c>
      <c r="D129" s="1" t="s">
        <v>59</v>
      </c>
      <c r="E129" s="1" t="s">
        <v>115</v>
      </c>
      <c r="F129" s="17"/>
      <c r="G129" s="111">
        <f>SUM(G130:G131)</f>
        <v>10845542</v>
      </c>
      <c r="H129" s="111">
        <f>SUM(H130:H131)</f>
        <v>0</v>
      </c>
      <c r="I129" s="107">
        <f t="shared" si="14"/>
        <v>10845542</v>
      </c>
      <c r="J129" s="137"/>
    </row>
    <row r="130" spans="1:10" ht="38.25">
      <c r="A130" s="7" t="s">
        <v>280</v>
      </c>
      <c r="B130" s="1" t="s">
        <v>165</v>
      </c>
      <c r="C130" s="1" t="s">
        <v>16</v>
      </c>
      <c r="D130" s="1" t="s">
        <v>59</v>
      </c>
      <c r="E130" s="1" t="s">
        <v>115</v>
      </c>
      <c r="F130" s="17" t="s">
        <v>281</v>
      </c>
      <c r="G130" s="111">
        <v>10545542</v>
      </c>
      <c r="H130" s="111"/>
      <c r="I130" s="107">
        <f t="shared" si="14"/>
        <v>10545542</v>
      </c>
      <c r="J130" s="137"/>
    </row>
    <row r="131" spans="1:10" ht="12.75">
      <c r="A131" s="7" t="s">
        <v>283</v>
      </c>
      <c r="B131" s="1" t="s">
        <v>165</v>
      </c>
      <c r="C131" s="1" t="s">
        <v>16</v>
      </c>
      <c r="D131" s="1" t="s">
        <v>59</v>
      </c>
      <c r="E131" s="1" t="s">
        <v>115</v>
      </c>
      <c r="F131" s="17" t="s">
        <v>282</v>
      </c>
      <c r="G131" s="111">
        <v>300000</v>
      </c>
      <c r="H131" s="111"/>
      <c r="I131" s="107">
        <f t="shared" si="14"/>
        <v>300000</v>
      </c>
      <c r="J131" s="137"/>
    </row>
    <row r="132" spans="1:10" ht="12.75">
      <c r="A132" s="2" t="s">
        <v>124</v>
      </c>
      <c r="B132" s="1" t="s">
        <v>165</v>
      </c>
      <c r="C132" s="1" t="s">
        <v>16</v>
      </c>
      <c r="D132" s="1" t="s">
        <v>59</v>
      </c>
      <c r="E132" s="1" t="s">
        <v>125</v>
      </c>
      <c r="F132" s="17"/>
      <c r="G132" s="111">
        <f>G133</f>
        <v>34456471</v>
      </c>
      <c r="H132" s="111">
        <f>H133</f>
        <v>0</v>
      </c>
      <c r="I132" s="107">
        <f t="shared" si="14"/>
        <v>34456471</v>
      </c>
      <c r="J132" s="137"/>
    </row>
    <row r="133" spans="1:10" ht="12.75">
      <c r="A133" s="2" t="s">
        <v>326</v>
      </c>
      <c r="B133" s="1" t="s">
        <v>165</v>
      </c>
      <c r="C133" s="1" t="s">
        <v>16</v>
      </c>
      <c r="D133" s="1" t="s">
        <v>59</v>
      </c>
      <c r="E133" s="1" t="s">
        <v>325</v>
      </c>
      <c r="F133" s="17"/>
      <c r="G133" s="111">
        <f>SUM(G134:G135)</f>
        <v>34456471</v>
      </c>
      <c r="H133" s="111">
        <f>SUM(H134:H135)</f>
        <v>0</v>
      </c>
      <c r="I133" s="107">
        <f t="shared" si="14"/>
        <v>34456471</v>
      </c>
      <c r="J133" s="137"/>
    </row>
    <row r="134" spans="1:13" ht="38.25">
      <c r="A134" s="7" t="s">
        <v>280</v>
      </c>
      <c r="B134" s="1" t="s">
        <v>165</v>
      </c>
      <c r="C134" s="1" t="s">
        <v>16</v>
      </c>
      <c r="D134" s="1" t="s">
        <v>59</v>
      </c>
      <c r="E134" s="1" t="s">
        <v>325</v>
      </c>
      <c r="F134" s="17" t="s">
        <v>281</v>
      </c>
      <c r="G134" s="111">
        <v>34456471</v>
      </c>
      <c r="H134" s="111">
        <f>-990239+600000</f>
        <v>-390239</v>
      </c>
      <c r="I134" s="107">
        <f t="shared" si="14"/>
        <v>34066232</v>
      </c>
      <c r="J134" s="137"/>
      <c r="M134" s="122"/>
    </row>
    <row r="135" spans="1:13" ht="12.75">
      <c r="A135" s="15" t="s">
        <v>134</v>
      </c>
      <c r="B135" s="1" t="s">
        <v>165</v>
      </c>
      <c r="C135" s="1" t="s">
        <v>16</v>
      </c>
      <c r="D135" s="1" t="s">
        <v>59</v>
      </c>
      <c r="E135" s="1" t="s">
        <v>325</v>
      </c>
      <c r="F135" s="17" t="s">
        <v>133</v>
      </c>
      <c r="G135" s="111"/>
      <c r="H135" s="111">
        <f>990239-600000</f>
        <v>390239</v>
      </c>
      <c r="I135" s="107">
        <f t="shared" si="14"/>
        <v>390239</v>
      </c>
      <c r="J135" s="137"/>
      <c r="M135" s="122"/>
    </row>
    <row r="136" spans="1:13" ht="12.75">
      <c r="A136" s="7" t="s">
        <v>419</v>
      </c>
      <c r="B136" s="61" t="s">
        <v>165</v>
      </c>
      <c r="C136" s="1" t="s">
        <v>16</v>
      </c>
      <c r="D136" s="1" t="s">
        <v>59</v>
      </c>
      <c r="E136" s="1" t="s">
        <v>42</v>
      </c>
      <c r="F136" s="17"/>
      <c r="G136" s="111">
        <f aca="true" t="shared" si="15" ref="G136:H138">G137</f>
        <v>498500</v>
      </c>
      <c r="H136" s="111">
        <f t="shared" si="15"/>
        <v>195700</v>
      </c>
      <c r="I136" s="107">
        <f t="shared" si="14"/>
        <v>694200</v>
      </c>
      <c r="J136" s="137"/>
      <c r="M136" s="122"/>
    </row>
    <row r="137" spans="1:13" ht="38.25">
      <c r="A137" s="7" t="s">
        <v>101</v>
      </c>
      <c r="B137" s="61" t="s">
        <v>165</v>
      </c>
      <c r="C137" s="1" t="s">
        <v>16</v>
      </c>
      <c r="D137" s="1" t="s">
        <v>59</v>
      </c>
      <c r="E137" s="1" t="s">
        <v>43</v>
      </c>
      <c r="F137" s="17"/>
      <c r="G137" s="111">
        <f t="shared" si="15"/>
        <v>498500</v>
      </c>
      <c r="H137" s="111">
        <f t="shared" si="15"/>
        <v>195700</v>
      </c>
      <c r="I137" s="107">
        <f t="shared" si="14"/>
        <v>694200</v>
      </c>
      <c r="J137" s="137"/>
      <c r="M137" s="122"/>
    </row>
    <row r="138" spans="1:13" ht="63.75">
      <c r="A138" s="129" t="s">
        <v>420</v>
      </c>
      <c r="B138" s="61" t="s">
        <v>165</v>
      </c>
      <c r="C138" s="1" t="s">
        <v>16</v>
      </c>
      <c r="D138" s="1" t="s">
        <v>59</v>
      </c>
      <c r="E138" s="1" t="s">
        <v>421</v>
      </c>
      <c r="F138" s="17"/>
      <c r="G138" s="111">
        <f t="shared" si="15"/>
        <v>498500</v>
      </c>
      <c r="H138" s="111">
        <f t="shared" si="15"/>
        <v>195700</v>
      </c>
      <c r="I138" s="107">
        <f t="shared" si="14"/>
        <v>694200</v>
      </c>
      <c r="J138" s="137"/>
      <c r="M138" s="122"/>
    </row>
    <row r="139" spans="1:13" ht="12.75">
      <c r="A139" s="7" t="s">
        <v>283</v>
      </c>
      <c r="B139" s="61" t="s">
        <v>165</v>
      </c>
      <c r="C139" s="1" t="s">
        <v>16</v>
      </c>
      <c r="D139" s="1" t="s">
        <v>59</v>
      </c>
      <c r="E139" s="1" t="s">
        <v>421</v>
      </c>
      <c r="F139" s="17" t="s">
        <v>282</v>
      </c>
      <c r="G139" s="111">
        <v>498500</v>
      </c>
      <c r="H139" s="111">
        <f>110700+85000</f>
        <v>195700</v>
      </c>
      <c r="I139" s="107">
        <f t="shared" si="14"/>
        <v>694200</v>
      </c>
      <c r="J139" s="137"/>
      <c r="M139" s="122"/>
    </row>
    <row r="140" spans="1:10" ht="12.75">
      <c r="A140" s="7"/>
      <c r="B140" s="1"/>
      <c r="C140" s="1"/>
      <c r="D140" s="1"/>
      <c r="E140" s="1"/>
      <c r="F140" s="17"/>
      <c r="G140" s="111"/>
      <c r="H140" s="111"/>
      <c r="I140" s="111"/>
      <c r="J140" s="136"/>
    </row>
    <row r="141" spans="1:10" ht="12.75">
      <c r="A141" s="4" t="s">
        <v>78</v>
      </c>
      <c r="B141" s="18" t="s">
        <v>165</v>
      </c>
      <c r="C141" s="19" t="s">
        <v>16</v>
      </c>
      <c r="D141" s="19" t="s">
        <v>55</v>
      </c>
      <c r="E141" s="19"/>
      <c r="F141" s="37"/>
      <c r="G141" s="109">
        <f>G142+G148+G152+G169+G155+G162+G165</f>
        <v>155680718</v>
      </c>
      <c r="H141" s="109">
        <f>H142+H148+H152+H169+H155+H162+H165</f>
        <v>17178164.78</v>
      </c>
      <c r="I141" s="109">
        <f>SUM(G141:H141)</f>
        <v>172858882.78</v>
      </c>
      <c r="J141" s="134"/>
    </row>
    <row r="142" spans="1:10" ht="25.5">
      <c r="A142" s="2" t="s">
        <v>116</v>
      </c>
      <c r="B142" s="1" t="s">
        <v>165</v>
      </c>
      <c r="C142" s="1" t="s">
        <v>16</v>
      </c>
      <c r="D142" s="1" t="s">
        <v>55</v>
      </c>
      <c r="E142" s="1" t="s">
        <v>117</v>
      </c>
      <c r="F142" s="17"/>
      <c r="G142" s="107">
        <f>G143+G146</f>
        <v>24883501</v>
      </c>
      <c r="H142" s="107">
        <f>H143+H146</f>
        <v>777452.78</v>
      </c>
      <c r="I142" s="107">
        <f aca="true" t="shared" si="16" ref="I142:I173">SUM(G142:H142)</f>
        <v>25660953.78</v>
      </c>
      <c r="J142" s="137"/>
    </row>
    <row r="143" spans="1:10" ht="12.75" customHeight="1">
      <c r="A143" s="2" t="s">
        <v>68</v>
      </c>
      <c r="B143" s="1" t="s">
        <v>165</v>
      </c>
      <c r="C143" s="1" t="s">
        <v>16</v>
      </c>
      <c r="D143" s="1" t="s">
        <v>55</v>
      </c>
      <c r="E143" s="1" t="s">
        <v>118</v>
      </c>
      <c r="F143" s="17"/>
      <c r="G143" s="111">
        <f>SUM(G144:G145)</f>
        <v>24821853</v>
      </c>
      <c r="H143" s="111">
        <f>SUM(H144:H145)</f>
        <v>777452.78</v>
      </c>
      <c r="I143" s="107">
        <f t="shared" si="16"/>
        <v>25599305.78</v>
      </c>
      <c r="J143" s="137"/>
    </row>
    <row r="144" spans="1:10" ht="40.5" customHeight="1">
      <c r="A144" s="7" t="s">
        <v>280</v>
      </c>
      <c r="B144" s="1" t="s">
        <v>165</v>
      </c>
      <c r="C144" s="1" t="s">
        <v>16</v>
      </c>
      <c r="D144" s="1" t="s">
        <v>55</v>
      </c>
      <c r="E144" s="1" t="s">
        <v>118</v>
      </c>
      <c r="F144" s="17" t="s">
        <v>281</v>
      </c>
      <c r="G144" s="111">
        <v>23941853</v>
      </c>
      <c r="H144" s="111">
        <v>277452.78</v>
      </c>
      <c r="I144" s="107">
        <f t="shared" si="16"/>
        <v>24219305.78</v>
      </c>
      <c r="J144" s="137"/>
    </row>
    <row r="145" spans="1:12" ht="12.75">
      <c r="A145" s="7" t="s">
        <v>283</v>
      </c>
      <c r="B145" s="1" t="s">
        <v>165</v>
      </c>
      <c r="C145" s="1" t="s">
        <v>16</v>
      </c>
      <c r="D145" s="1" t="s">
        <v>55</v>
      </c>
      <c r="E145" s="1" t="s">
        <v>118</v>
      </c>
      <c r="F145" s="17" t="s">
        <v>282</v>
      </c>
      <c r="G145" s="111">
        <v>880000</v>
      </c>
      <c r="H145" s="111">
        <v>500000</v>
      </c>
      <c r="I145" s="107">
        <f t="shared" si="16"/>
        <v>1380000</v>
      </c>
      <c r="J145" s="137"/>
      <c r="L145" s="122"/>
    </row>
    <row r="146" spans="1:10" ht="63.75">
      <c r="A146" s="64" t="s">
        <v>172</v>
      </c>
      <c r="B146" s="1" t="s">
        <v>165</v>
      </c>
      <c r="C146" s="1" t="s">
        <v>16</v>
      </c>
      <c r="D146" s="1" t="s">
        <v>55</v>
      </c>
      <c r="E146" s="1" t="s">
        <v>173</v>
      </c>
      <c r="F146" s="17"/>
      <c r="G146" s="111">
        <f>G147</f>
        <v>61648</v>
      </c>
      <c r="H146" s="111">
        <f>H147</f>
        <v>0</v>
      </c>
      <c r="I146" s="107">
        <f t="shared" si="16"/>
        <v>61648</v>
      </c>
      <c r="J146" s="137"/>
    </row>
    <row r="147" spans="1:10" ht="12.75">
      <c r="A147" s="7" t="s">
        <v>283</v>
      </c>
      <c r="B147" s="1" t="s">
        <v>165</v>
      </c>
      <c r="C147" s="1" t="s">
        <v>16</v>
      </c>
      <c r="D147" s="1" t="s">
        <v>55</v>
      </c>
      <c r="E147" s="1" t="s">
        <v>173</v>
      </c>
      <c r="F147" s="17" t="s">
        <v>282</v>
      </c>
      <c r="G147" s="111">
        <v>61648</v>
      </c>
      <c r="H147" s="111"/>
      <c r="I147" s="107">
        <f t="shared" si="16"/>
        <v>61648</v>
      </c>
      <c r="J147" s="137"/>
    </row>
    <row r="148" spans="1:10" ht="12.75">
      <c r="A148" s="2" t="s">
        <v>79</v>
      </c>
      <c r="B148" s="1" t="s">
        <v>165</v>
      </c>
      <c r="C148" s="1" t="s">
        <v>16</v>
      </c>
      <c r="D148" s="1" t="s">
        <v>55</v>
      </c>
      <c r="E148" s="1" t="s">
        <v>80</v>
      </c>
      <c r="F148" s="17"/>
      <c r="G148" s="111">
        <f>G149</f>
        <v>5894778</v>
      </c>
      <c r="H148" s="111">
        <f>H149</f>
        <v>390212</v>
      </c>
      <c r="I148" s="107">
        <f t="shared" si="16"/>
        <v>6284990</v>
      </c>
      <c r="J148" s="137"/>
    </row>
    <row r="149" spans="1:10" ht="12.75" customHeight="1">
      <c r="A149" s="2" t="s">
        <v>68</v>
      </c>
      <c r="B149" s="1" t="s">
        <v>165</v>
      </c>
      <c r="C149" s="1" t="s">
        <v>16</v>
      </c>
      <c r="D149" s="1" t="s">
        <v>55</v>
      </c>
      <c r="E149" s="1" t="s">
        <v>81</v>
      </c>
      <c r="F149" s="17"/>
      <c r="G149" s="111">
        <f>SUM(G150:G151)</f>
        <v>5894778</v>
      </c>
      <c r="H149" s="111">
        <f>SUM(H150:H151)</f>
        <v>390212</v>
      </c>
      <c r="I149" s="107">
        <f t="shared" si="16"/>
        <v>6284990</v>
      </c>
      <c r="J149" s="137"/>
    </row>
    <row r="150" spans="1:11" ht="38.25">
      <c r="A150" s="7" t="s">
        <v>280</v>
      </c>
      <c r="B150" s="1" t="s">
        <v>165</v>
      </c>
      <c r="C150" s="1" t="s">
        <v>16</v>
      </c>
      <c r="D150" s="1" t="s">
        <v>55</v>
      </c>
      <c r="E150" s="1" t="s">
        <v>81</v>
      </c>
      <c r="F150" s="17" t="s">
        <v>281</v>
      </c>
      <c r="G150" s="111">
        <v>5844778</v>
      </c>
      <c r="H150" s="111">
        <f>212+390000</f>
        <v>390212</v>
      </c>
      <c r="I150" s="107">
        <f t="shared" si="16"/>
        <v>6234990</v>
      </c>
      <c r="J150" s="137"/>
      <c r="K150">
        <v>390000</v>
      </c>
    </row>
    <row r="151" spans="1:10" ht="12.75">
      <c r="A151" s="7" t="s">
        <v>283</v>
      </c>
      <c r="B151" s="1" t="s">
        <v>165</v>
      </c>
      <c r="C151" s="1" t="s">
        <v>16</v>
      </c>
      <c r="D151" s="1" t="s">
        <v>55</v>
      </c>
      <c r="E151" s="1" t="s">
        <v>81</v>
      </c>
      <c r="F151" s="17" t="s">
        <v>282</v>
      </c>
      <c r="G151" s="111">
        <f>50000</f>
        <v>50000</v>
      </c>
      <c r="H151" s="111"/>
      <c r="I151" s="107">
        <f t="shared" si="16"/>
        <v>50000</v>
      </c>
      <c r="J151" s="137"/>
    </row>
    <row r="152" spans="1:10" ht="12.75">
      <c r="A152" s="7" t="s">
        <v>450</v>
      </c>
      <c r="B152" s="1" t="s">
        <v>165</v>
      </c>
      <c r="C152" s="1" t="s">
        <v>16</v>
      </c>
      <c r="D152" s="1" t="s">
        <v>55</v>
      </c>
      <c r="E152" s="1" t="s">
        <v>451</v>
      </c>
      <c r="F152" s="17"/>
      <c r="G152" s="111"/>
      <c r="H152" s="111">
        <f>H153</f>
        <v>3410000</v>
      </c>
      <c r="I152" s="107">
        <f t="shared" si="16"/>
        <v>3410000</v>
      </c>
      <c r="J152" s="137"/>
    </row>
    <row r="153" spans="1:10" ht="12.75">
      <c r="A153" s="7" t="s">
        <v>452</v>
      </c>
      <c r="B153" s="1" t="s">
        <v>165</v>
      </c>
      <c r="C153" s="1" t="s">
        <v>16</v>
      </c>
      <c r="D153" s="1" t="s">
        <v>55</v>
      </c>
      <c r="E153" s="1" t="s">
        <v>453</v>
      </c>
      <c r="F153" s="17"/>
      <c r="G153" s="111"/>
      <c r="H153" s="111">
        <f>H154</f>
        <v>3410000</v>
      </c>
      <c r="I153" s="107">
        <f t="shared" si="16"/>
        <v>3410000</v>
      </c>
      <c r="J153" s="137"/>
    </row>
    <row r="154" spans="1:10" ht="12.75">
      <c r="A154" s="15" t="s">
        <v>134</v>
      </c>
      <c r="B154" s="1" t="s">
        <v>165</v>
      </c>
      <c r="C154" s="1" t="s">
        <v>16</v>
      </c>
      <c r="D154" s="1" t="s">
        <v>55</v>
      </c>
      <c r="E154" s="1" t="s">
        <v>453</v>
      </c>
      <c r="F154" s="17" t="s">
        <v>133</v>
      </c>
      <c r="G154" s="111"/>
      <c r="H154" s="111">
        <v>3410000</v>
      </c>
      <c r="I154" s="107">
        <f t="shared" si="16"/>
        <v>3410000</v>
      </c>
      <c r="J154" s="137"/>
    </row>
    <row r="155" spans="1:10" ht="19.5" customHeight="1">
      <c r="A155" s="7" t="s">
        <v>124</v>
      </c>
      <c r="B155" s="1" t="s">
        <v>165</v>
      </c>
      <c r="C155" s="1" t="s">
        <v>16</v>
      </c>
      <c r="D155" s="1" t="s">
        <v>55</v>
      </c>
      <c r="E155" s="1" t="s">
        <v>125</v>
      </c>
      <c r="F155" s="17"/>
      <c r="G155" s="111">
        <f>G159+G156</f>
        <v>117473729</v>
      </c>
      <c r="H155" s="111">
        <f>H159+H156</f>
        <v>12264500</v>
      </c>
      <c r="I155" s="107">
        <f t="shared" si="16"/>
        <v>129738229</v>
      </c>
      <c r="J155" s="137"/>
    </row>
    <row r="156" spans="1:10" ht="23.25" customHeight="1">
      <c r="A156" s="7" t="s">
        <v>422</v>
      </c>
      <c r="B156" s="1" t="s">
        <v>165</v>
      </c>
      <c r="C156" s="1" t="s">
        <v>16</v>
      </c>
      <c r="D156" s="1" t="s">
        <v>55</v>
      </c>
      <c r="E156" s="1" t="s">
        <v>423</v>
      </c>
      <c r="F156" s="17"/>
      <c r="G156" s="111">
        <f>G157</f>
        <v>1950000</v>
      </c>
      <c r="H156" s="111">
        <f>H157</f>
        <v>0</v>
      </c>
      <c r="I156" s="107">
        <f t="shared" si="16"/>
        <v>1950000</v>
      </c>
      <c r="J156" s="137"/>
    </row>
    <row r="157" spans="1:10" ht="45" customHeight="1">
      <c r="A157" s="7" t="s">
        <v>424</v>
      </c>
      <c r="B157" s="1" t="s">
        <v>165</v>
      </c>
      <c r="C157" s="1" t="s">
        <v>16</v>
      </c>
      <c r="D157" s="1" t="s">
        <v>55</v>
      </c>
      <c r="E157" s="1" t="s">
        <v>425</v>
      </c>
      <c r="F157" s="17"/>
      <c r="G157" s="111">
        <f>G158</f>
        <v>1950000</v>
      </c>
      <c r="H157" s="111">
        <f>H158</f>
        <v>0</v>
      </c>
      <c r="I157" s="107">
        <f t="shared" si="16"/>
        <v>1950000</v>
      </c>
      <c r="J157" s="137"/>
    </row>
    <row r="158" spans="1:13" ht="19.5" customHeight="1">
      <c r="A158" s="7" t="s">
        <v>283</v>
      </c>
      <c r="B158" s="1" t="s">
        <v>165</v>
      </c>
      <c r="C158" s="1" t="s">
        <v>16</v>
      </c>
      <c r="D158" s="1" t="s">
        <v>55</v>
      </c>
      <c r="E158" s="1" t="s">
        <v>425</v>
      </c>
      <c r="F158" s="17" t="s">
        <v>282</v>
      </c>
      <c r="G158" s="111">
        <v>1950000</v>
      </c>
      <c r="H158" s="111"/>
      <c r="I158" s="107">
        <f t="shared" si="16"/>
        <v>1950000</v>
      </c>
      <c r="J158" s="137"/>
      <c r="M158" s="122"/>
    </row>
    <row r="159" spans="1:10" ht="12.75">
      <c r="A159" s="2" t="s">
        <v>326</v>
      </c>
      <c r="B159" s="1" t="s">
        <v>165</v>
      </c>
      <c r="C159" s="1" t="s">
        <v>16</v>
      </c>
      <c r="D159" s="1" t="s">
        <v>55</v>
      </c>
      <c r="E159" s="1" t="s">
        <v>325</v>
      </c>
      <c r="F159" s="17"/>
      <c r="G159" s="111">
        <f>+G160</f>
        <v>115523729</v>
      </c>
      <c r="H159" s="111">
        <f>SUM(H160:H161)</f>
        <v>12264500</v>
      </c>
      <c r="I159" s="107">
        <f t="shared" si="16"/>
        <v>127788229</v>
      </c>
      <c r="J159" s="137"/>
    </row>
    <row r="160" spans="1:10" ht="38.25">
      <c r="A160" s="7" t="s">
        <v>280</v>
      </c>
      <c r="B160" s="1" t="s">
        <v>165</v>
      </c>
      <c r="C160" s="1" t="s">
        <v>16</v>
      </c>
      <c r="D160" s="1" t="s">
        <v>55</v>
      </c>
      <c r="E160" s="1" t="s">
        <v>325</v>
      </c>
      <c r="F160" s="17" t="s">
        <v>281</v>
      </c>
      <c r="G160" s="111">
        <v>115523729</v>
      </c>
      <c r="H160" s="111">
        <f>12264500-16400468+10108328+1150000</f>
        <v>7122360</v>
      </c>
      <c r="I160" s="107">
        <f t="shared" si="16"/>
        <v>122646089</v>
      </c>
      <c r="J160" s="137"/>
    </row>
    <row r="161" spans="1:10" ht="12.75">
      <c r="A161" s="15" t="s">
        <v>134</v>
      </c>
      <c r="B161" s="1" t="s">
        <v>165</v>
      </c>
      <c r="C161" s="1" t="s">
        <v>16</v>
      </c>
      <c r="D161" s="1" t="s">
        <v>55</v>
      </c>
      <c r="E161" s="1" t="s">
        <v>325</v>
      </c>
      <c r="F161" s="17" t="s">
        <v>133</v>
      </c>
      <c r="G161" s="111"/>
      <c r="H161" s="111">
        <f>16400468-10108328-1150000</f>
        <v>5142140</v>
      </c>
      <c r="I161" s="107">
        <f t="shared" si="16"/>
        <v>5142140</v>
      </c>
      <c r="J161" s="137"/>
    </row>
    <row r="162" spans="1:10" ht="12.75">
      <c r="A162" s="7" t="s">
        <v>140</v>
      </c>
      <c r="B162" s="1" t="s">
        <v>165</v>
      </c>
      <c r="C162" s="1" t="s">
        <v>16</v>
      </c>
      <c r="D162" s="1" t="s">
        <v>55</v>
      </c>
      <c r="E162" s="1" t="s">
        <v>141</v>
      </c>
      <c r="F162" s="17"/>
      <c r="G162" s="111">
        <f>G163</f>
        <v>1936410</v>
      </c>
      <c r="H162" s="111">
        <f>H163</f>
        <v>0</v>
      </c>
      <c r="I162" s="107">
        <f t="shared" si="16"/>
        <v>1936410</v>
      </c>
      <c r="J162" s="137"/>
    </row>
    <row r="163" spans="1:10" ht="38.25">
      <c r="A163" s="7" t="s">
        <v>290</v>
      </c>
      <c r="B163" s="14" t="s">
        <v>165</v>
      </c>
      <c r="C163" s="14" t="s">
        <v>16</v>
      </c>
      <c r="D163" s="14" t="s">
        <v>55</v>
      </c>
      <c r="E163" s="14" t="s">
        <v>289</v>
      </c>
      <c r="F163" s="17"/>
      <c r="G163" s="111">
        <f>G164</f>
        <v>1936410</v>
      </c>
      <c r="H163" s="111">
        <f>H164</f>
        <v>0</v>
      </c>
      <c r="I163" s="107">
        <f t="shared" si="16"/>
        <v>1936410</v>
      </c>
      <c r="J163" s="137"/>
    </row>
    <row r="164" spans="1:11" ht="12.75">
      <c r="A164" s="7" t="s">
        <v>283</v>
      </c>
      <c r="B164" s="14" t="s">
        <v>165</v>
      </c>
      <c r="C164" s="14" t="s">
        <v>16</v>
      </c>
      <c r="D164" s="14" t="s">
        <v>55</v>
      </c>
      <c r="E164" s="14" t="s">
        <v>289</v>
      </c>
      <c r="F164" s="21" t="s">
        <v>282</v>
      </c>
      <c r="G164" s="111">
        <v>1936410</v>
      </c>
      <c r="H164" s="111"/>
      <c r="I164" s="107">
        <f t="shared" si="16"/>
        <v>1936410</v>
      </c>
      <c r="J164" s="137"/>
      <c r="K164" s="122"/>
    </row>
    <row r="165" spans="1:11" ht="12.75">
      <c r="A165" s="7" t="s">
        <v>419</v>
      </c>
      <c r="B165" s="61" t="s">
        <v>165</v>
      </c>
      <c r="C165" s="1" t="s">
        <v>16</v>
      </c>
      <c r="D165" s="1" t="s">
        <v>55</v>
      </c>
      <c r="E165" s="1" t="s">
        <v>42</v>
      </c>
      <c r="F165" s="17"/>
      <c r="G165" s="111">
        <f aca="true" t="shared" si="17" ref="G165:H167">G166</f>
        <v>4282300</v>
      </c>
      <c r="H165" s="111">
        <f t="shared" si="17"/>
        <v>826000</v>
      </c>
      <c r="I165" s="107">
        <f t="shared" si="16"/>
        <v>5108300</v>
      </c>
      <c r="J165" s="137"/>
      <c r="K165" s="122"/>
    </row>
    <row r="166" spans="1:11" ht="42" customHeight="1">
      <c r="A166" s="7" t="s">
        <v>101</v>
      </c>
      <c r="B166" s="61" t="s">
        <v>165</v>
      </c>
      <c r="C166" s="1" t="s">
        <v>16</v>
      </c>
      <c r="D166" s="1" t="s">
        <v>55</v>
      </c>
      <c r="E166" s="1" t="s">
        <v>43</v>
      </c>
      <c r="F166" s="17"/>
      <c r="G166" s="111">
        <f t="shared" si="17"/>
        <v>4282300</v>
      </c>
      <c r="H166" s="111">
        <f t="shared" si="17"/>
        <v>826000</v>
      </c>
      <c r="I166" s="107">
        <f t="shared" si="16"/>
        <v>5108300</v>
      </c>
      <c r="J166" s="137"/>
      <c r="K166" s="122"/>
    </row>
    <row r="167" spans="1:13" ht="70.5" customHeight="1">
      <c r="A167" s="129" t="s">
        <v>420</v>
      </c>
      <c r="B167" s="61" t="s">
        <v>165</v>
      </c>
      <c r="C167" s="1" t="s">
        <v>16</v>
      </c>
      <c r="D167" s="1" t="s">
        <v>55</v>
      </c>
      <c r="E167" s="1" t="s">
        <v>421</v>
      </c>
      <c r="F167" s="17"/>
      <c r="G167" s="111">
        <f t="shared" si="17"/>
        <v>4282300</v>
      </c>
      <c r="H167" s="111">
        <f t="shared" si="17"/>
        <v>826000</v>
      </c>
      <c r="I167" s="107">
        <f t="shared" si="16"/>
        <v>5108300</v>
      </c>
      <c r="J167" s="137"/>
      <c r="K167" s="122"/>
      <c r="M167" s="122"/>
    </row>
    <row r="168" spans="1:13" ht="15" customHeight="1">
      <c r="A168" s="7" t="s">
        <v>283</v>
      </c>
      <c r="B168" s="61" t="s">
        <v>165</v>
      </c>
      <c r="C168" s="1" t="s">
        <v>16</v>
      </c>
      <c r="D168" s="1" t="s">
        <v>55</v>
      </c>
      <c r="E168" s="1" t="s">
        <v>421</v>
      </c>
      <c r="F168" s="17" t="s">
        <v>282</v>
      </c>
      <c r="G168" s="111">
        <v>4282300</v>
      </c>
      <c r="H168" s="111">
        <f>641000+185000</f>
        <v>826000</v>
      </c>
      <c r="I168" s="107">
        <f>SUM(G167:H167)</f>
        <v>5108300</v>
      </c>
      <c r="J168" s="137"/>
      <c r="K168" s="122"/>
      <c r="M168" s="122"/>
    </row>
    <row r="169" spans="1:10" ht="12.75">
      <c r="A169" s="2" t="s">
        <v>147</v>
      </c>
      <c r="B169" s="1" t="s">
        <v>165</v>
      </c>
      <c r="C169" s="1" t="s">
        <v>16</v>
      </c>
      <c r="D169" s="1" t="s">
        <v>55</v>
      </c>
      <c r="E169" s="1" t="s">
        <v>148</v>
      </c>
      <c r="F169" s="17"/>
      <c r="G169" s="111">
        <f>SUM(G170+G172)</f>
        <v>1210000</v>
      </c>
      <c r="H169" s="111">
        <f>SUM(H170+H172)</f>
        <v>-490000</v>
      </c>
      <c r="I169" s="107">
        <f t="shared" si="16"/>
        <v>720000</v>
      </c>
      <c r="J169" s="137"/>
    </row>
    <row r="170" spans="1:10" ht="51">
      <c r="A170" s="2" t="s">
        <v>355</v>
      </c>
      <c r="B170" s="1" t="s">
        <v>165</v>
      </c>
      <c r="C170" s="1" t="s">
        <v>16</v>
      </c>
      <c r="D170" s="1" t="s">
        <v>55</v>
      </c>
      <c r="E170" s="1" t="s">
        <v>212</v>
      </c>
      <c r="F170" s="17"/>
      <c r="G170" s="111">
        <f>+G171</f>
        <v>1150000</v>
      </c>
      <c r="H170" s="111">
        <f>+H171</f>
        <v>-490000</v>
      </c>
      <c r="I170" s="107">
        <f t="shared" si="16"/>
        <v>660000</v>
      </c>
      <c r="J170" s="137"/>
    </row>
    <row r="171" spans="1:12" ht="12.75">
      <c r="A171" s="7" t="s">
        <v>283</v>
      </c>
      <c r="B171" s="1" t="s">
        <v>165</v>
      </c>
      <c r="C171" s="1" t="s">
        <v>16</v>
      </c>
      <c r="D171" s="1" t="s">
        <v>55</v>
      </c>
      <c r="E171" s="1" t="s">
        <v>212</v>
      </c>
      <c r="F171" s="17" t="s">
        <v>282</v>
      </c>
      <c r="G171" s="111">
        <v>1150000</v>
      </c>
      <c r="H171" s="111">
        <f>-100000-390000</f>
        <v>-490000</v>
      </c>
      <c r="I171" s="107">
        <f t="shared" si="16"/>
        <v>660000</v>
      </c>
      <c r="J171" s="137"/>
      <c r="L171">
        <v>390000</v>
      </c>
    </row>
    <row r="172" spans="1:10" ht="25.5">
      <c r="A172" s="65" t="s">
        <v>297</v>
      </c>
      <c r="B172" s="1" t="s">
        <v>165</v>
      </c>
      <c r="C172" s="1" t="s">
        <v>16</v>
      </c>
      <c r="D172" s="1" t="s">
        <v>55</v>
      </c>
      <c r="E172" s="1" t="s">
        <v>227</v>
      </c>
      <c r="F172" s="17"/>
      <c r="G172" s="111">
        <f>G173</f>
        <v>60000</v>
      </c>
      <c r="H172" s="111">
        <f>H173</f>
        <v>0</v>
      </c>
      <c r="I172" s="107">
        <f t="shared" si="16"/>
        <v>60000</v>
      </c>
      <c r="J172" s="137"/>
    </row>
    <row r="173" spans="1:10" ht="12.75">
      <c r="A173" s="7" t="s">
        <v>283</v>
      </c>
      <c r="B173" s="1" t="s">
        <v>165</v>
      </c>
      <c r="C173" s="1" t="s">
        <v>16</v>
      </c>
      <c r="D173" s="1" t="s">
        <v>55</v>
      </c>
      <c r="E173" s="1" t="s">
        <v>227</v>
      </c>
      <c r="F173" s="17" t="s">
        <v>282</v>
      </c>
      <c r="G173" s="111">
        <v>60000</v>
      </c>
      <c r="H173" s="111"/>
      <c r="I173" s="107">
        <f t="shared" si="16"/>
        <v>60000</v>
      </c>
      <c r="J173" s="137"/>
    </row>
    <row r="174" spans="1:10" ht="12.75">
      <c r="A174" s="7"/>
      <c r="B174" s="61"/>
      <c r="C174" s="1"/>
      <c r="D174" s="1"/>
      <c r="E174" s="1"/>
      <c r="F174" s="17"/>
      <c r="G174" s="111"/>
      <c r="H174" s="111"/>
      <c r="I174" s="107"/>
      <c r="J174" s="137"/>
    </row>
    <row r="175" spans="1:10" ht="12.75">
      <c r="A175" s="4" t="s">
        <v>102</v>
      </c>
      <c r="B175" s="18" t="s">
        <v>165</v>
      </c>
      <c r="C175" s="18" t="s">
        <v>16</v>
      </c>
      <c r="D175" s="18" t="s">
        <v>16</v>
      </c>
      <c r="E175" s="18"/>
      <c r="F175" s="40"/>
      <c r="G175" s="109">
        <f>+G176+G179+G186</f>
        <v>3846162</v>
      </c>
      <c r="H175" s="109">
        <f>+H176+H179+H186</f>
        <v>0</v>
      </c>
      <c r="I175" s="109">
        <f>SUM(G175:H175)</f>
        <v>3846162</v>
      </c>
      <c r="J175" s="134"/>
    </row>
    <row r="176" spans="1:10" ht="12.75">
      <c r="A176" s="2" t="s">
        <v>103</v>
      </c>
      <c r="B176" s="1" t="s">
        <v>165</v>
      </c>
      <c r="C176" s="1" t="s">
        <v>16</v>
      </c>
      <c r="D176" s="1" t="s">
        <v>16</v>
      </c>
      <c r="E176" s="1" t="s">
        <v>104</v>
      </c>
      <c r="F176" s="17"/>
      <c r="G176" s="107">
        <f>G177</f>
        <v>92000</v>
      </c>
      <c r="H176" s="107">
        <f>H177</f>
        <v>0</v>
      </c>
      <c r="I176" s="107">
        <f aca="true" t="shared" si="18" ref="I176:I189">SUM(G176:H176)</f>
        <v>92000</v>
      </c>
      <c r="J176" s="137"/>
    </row>
    <row r="177" spans="1:10" ht="12.75">
      <c r="A177" s="7" t="s">
        <v>105</v>
      </c>
      <c r="B177" s="1" t="s">
        <v>165</v>
      </c>
      <c r="C177" s="1" t="s">
        <v>16</v>
      </c>
      <c r="D177" s="1" t="s">
        <v>16</v>
      </c>
      <c r="E177" s="1" t="s">
        <v>106</v>
      </c>
      <c r="F177" s="17"/>
      <c r="G177" s="111">
        <f>SUM(G178)</f>
        <v>92000</v>
      </c>
      <c r="H177" s="111">
        <f>SUM(H178)</f>
        <v>0</v>
      </c>
      <c r="I177" s="107">
        <f t="shared" si="18"/>
        <v>92000</v>
      </c>
      <c r="J177" s="137"/>
    </row>
    <row r="178" spans="1:10" ht="12.75" customHeight="1">
      <c r="A178" s="7" t="s">
        <v>283</v>
      </c>
      <c r="B178" s="1" t="s">
        <v>165</v>
      </c>
      <c r="C178" s="1" t="s">
        <v>16</v>
      </c>
      <c r="D178" s="1" t="s">
        <v>16</v>
      </c>
      <c r="E178" s="1" t="s">
        <v>106</v>
      </c>
      <c r="F178" s="17" t="s">
        <v>282</v>
      </c>
      <c r="G178" s="111">
        <v>92000</v>
      </c>
      <c r="H178" s="111"/>
      <c r="I178" s="107">
        <f t="shared" si="18"/>
        <v>92000</v>
      </c>
      <c r="J178" s="137"/>
    </row>
    <row r="179" spans="1:10" ht="25.5">
      <c r="A179" s="7" t="s">
        <v>107</v>
      </c>
      <c r="B179" s="1" t="s">
        <v>165</v>
      </c>
      <c r="C179" s="1" t="s">
        <v>16</v>
      </c>
      <c r="D179" s="1" t="s">
        <v>16</v>
      </c>
      <c r="E179" s="1" t="s">
        <v>33</v>
      </c>
      <c r="F179" s="17"/>
      <c r="G179" s="111">
        <f>SUM(G180+G185)</f>
        <v>3404162</v>
      </c>
      <c r="H179" s="111">
        <f>SUM(H180+H185)</f>
        <v>0</v>
      </c>
      <c r="I179" s="107">
        <f t="shared" si="18"/>
        <v>3404162</v>
      </c>
      <c r="J179" s="137"/>
    </row>
    <row r="180" spans="1:10" ht="12.75">
      <c r="A180" s="2" t="s">
        <v>335</v>
      </c>
      <c r="B180" s="1" t="s">
        <v>165</v>
      </c>
      <c r="C180" s="3" t="s">
        <v>16</v>
      </c>
      <c r="D180" s="3" t="s">
        <v>16</v>
      </c>
      <c r="E180" s="3" t="s">
        <v>336</v>
      </c>
      <c r="F180" s="17"/>
      <c r="G180" s="111">
        <f>G181</f>
        <v>2238500</v>
      </c>
      <c r="H180" s="111">
        <f>H181</f>
        <v>0</v>
      </c>
      <c r="I180" s="107">
        <f t="shared" si="18"/>
        <v>2238500</v>
      </c>
      <c r="J180" s="137"/>
    </row>
    <row r="181" spans="1:10" ht="12.75">
      <c r="A181" s="2" t="s">
        <v>337</v>
      </c>
      <c r="B181" s="1" t="s">
        <v>165</v>
      </c>
      <c r="C181" s="3" t="s">
        <v>16</v>
      </c>
      <c r="D181" s="3" t="s">
        <v>16</v>
      </c>
      <c r="E181" s="3" t="s">
        <v>338</v>
      </c>
      <c r="F181" s="17"/>
      <c r="G181" s="111">
        <f>G182+G183</f>
        <v>2238500</v>
      </c>
      <c r="H181" s="111">
        <f>H182+H183</f>
        <v>0</v>
      </c>
      <c r="I181" s="107">
        <f t="shared" si="18"/>
        <v>2238500</v>
      </c>
      <c r="J181" s="137"/>
    </row>
    <row r="182" spans="1:10" ht="12.75">
      <c r="A182" s="15" t="s">
        <v>134</v>
      </c>
      <c r="B182" s="1" t="s">
        <v>165</v>
      </c>
      <c r="C182" s="3" t="s">
        <v>16</v>
      </c>
      <c r="D182" s="3" t="s">
        <v>16</v>
      </c>
      <c r="E182" s="3" t="s">
        <v>338</v>
      </c>
      <c r="F182" s="17" t="s">
        <v>133</v>
      </c>
      <c r="G182" s="111">
        <v>1938500</v>
      </c>
      <c r="H182" s="111">
        <v>-1215522</v>
      </c>
      <c r="I182" s="107">
        <f t="shared" si="18"/>
        <v>722978</v>
      </c>
      <c r="J182" s="137"/>
    </row>
    <row r="183" spans="1:10" ht="12.75">
      <c r="A183" s="7" t="s">
        <v>283</v>
      </c>
      <c r="B183" s="1" t="s">
        <v>165</v>
      </c>
      <c r="C183" s="3" t="s">
        <v>16</v>
      </c>
      <c r="D183" s="3" t="s">
        <v>16</v>
      </c>
      <c r="E183" s="3" t="s">
        <v>338</v>
      </c>
      <c r="F183" s="17" t="s">
        <v>282</v>
      </c>
      <c r="G183" s="111">
        <v>300000</v>
      </c>
      <c r="H183" s="111">
        <v>1215522</v>
      </c>
      <c r="I183" s="107">
        <f t="shared" si="18"/>
        <v>1515522</v>
      </c>
      <c r="J183" s="137"/>
    </row>
    <row r="184" spans="1:10" ht="12.75" customHeight="1">
      <c r="A184" s="2" t="s">
        <v>68</v>
      </c>
      <c r="B184" s="1" t="s">
        <v>165</v>
      </c>
      <c r="C184" s="1" t="s">
        <v>16</v>
      </c>
      <c r="D184" s="1" t="s">
        <v>16</v>
      </c>
      <c r="E184" s="1" t="s">
        <v>145</v>
      </c>
      <c r="F184" s="17"/>
      <c r="G184" s="111">
        <f>G185</f>
        <v>1165662</v>
      </c>
      <c r="H184" s="111">
        <f>H185</f>
        <v>0</v>
      </c>
      <c r="I184" s="107">
        <f t="shared" si="18"/>
        <v>1165662</v>
      </c>
      <c r="J184" s="137"/>
    </row>
    <row r="185" spans="1:10" ht="38.25">
      <c r="A185" s="7" t="s">
        <v>280</v>
      </c>
      <c r="B185" s="1" t="s">
        <v>165</v>
      </c>
      <c r="C185" s="1" t="s">
        <v>16</v>
      </c>
      <c r="D185" s="1" t="s">
        <v>16</v>
      </c>
      <c r="E185" s="1" t="s">
        <v>145</v>
      </c>
      <c r="F185" s="17" t="s">
        <v>281</v>
      </c>
      <c r="G185" s="111">
        <v>1165662</v>
      </c>
      <c r="H185" s="111"/>
      <c r="I185" s="107">
        <f t="shared" si="18"/>
        <v>1165662</v>
      </c>
      <c r="J185" s="137"/>
    </row>
    <row r="186" spans="1:10" ht="12.75">
      <c r="A186" s="2" t="s">
        <v>147</v>
      </c>
      <c r="B186" s="61" t="s">
        <v>165</v>
      </c>
      <c r="C186" s="1" t="s">
        <v>16</v>
      </c>
      <c r="D186" s="1" t="s">
        <v>16</v>
      </c>
      <c r="E186" s="1" t="s">
        <v>148</v>
      </c>
      <c r="F186" s="17"/>
      <c r="G186" s="111">
        <f>+G187</f>
        <v>350000</v>
      </c>
      <c r="H186" s="111">
        <f>+H187</f>
        <v>0</v>
      </c>
      <c r="I186" s="107">
        <f t="shared" si="18"/>
        <v>350000</v>
      </c>
      <c r="J186" s="137"/>
    </row>
    <row r="187" spans="1:10" ht="38.25">
      <c r="A187" s="7" t="s">
        <v>351</v>
      </c>
      <c r="B187" s="61" t="s">
        <v>165</v>
      </c>
      <c r="C187" s="1" t="s">
        <v>16</v>
      </c>
      <c r="D187" s="1" t="s">
        <v>16</v>
      </c>
      <c r="E187" s="1" t="s">
        <v>220</v>
      </c>
      <c r="F187" s="17"/>
      <c r="G187" s="111">
        <f>SUM(G188:G189)</f>
        <v>350000</v>
      </c>
      <c r="H187" s="111">
        <f>SUM(H188:H189)</f>
        <v>0</v>
      </c>
      <c r="I187" s="107">
        <f t="shared" si="18"/>
        <v>350000</v>
      </c>
      <c r="J187" s="137"/>
    </row>
    <row r="188" spans="1:10" ht="12.75">
      <c r="A188" s="7" t="s">
        <v>283</v>
      </c>
      <c r="B188" s="61" t="s">
        <v>165</v>
      </c>
      <c r="C188" s="1" t="s">
        <v>16</v>
      </c>
      <c r="D188" s="1" t="s">
        <v>16</v>
      </c>
      <c r="E188" s="1" t="s">
        <v>220</v>
      </c>
      <c r="F188" s="17" t="s">
        <v>282</v>
      </c>
      <c r="G188" s="111">
        <v>300000</v>
      </c>
      <c r="H188" s="111"/>
      <c r="I188" s="107">
        <f t="shared" si="18"/>
        <v>300000</v>
      </c>
      <c r="J188" s="137"/>
    </row>
    <row r="189" spans="1:10" ht="12.75">
      <c r="A189" s="15" t="s">
        <v>303</v>
      </c>
      <c r="B189" s="61" t="s">
        <v>165</v>
      </c>
      <c r="C189" s="1" t="s">
        <v>16</v>
      </c>
      <c r="D189" s="1" t="s">
        <v>16</v>
      </c>
      <c r="E189" s="1" t="s">
        <v>220</v>
      </c>
      <c r="F189" s="17" t="s">
        <v>302</v>
      </c>
      <c r="G189" s="111">
        <v>50000</v>
      </c>
      <c r="H189" s="111"/>
      <c r="I189" s="107">
        <f t="shared" si="18"/>
        <v>50000</v>
      </c>
      <c r="J189" s="137"/>
    </row>
    <row r="190" spans="1:10" ht="12.75">
      <c r="A190" s="2"/>
      <c r="B190" s="53"/>
      <c r="C190" s="1"/>
      <c r="D190" s="1"/>
      <c r="E190" s="1"/>
      <c r="F190" s="17"/>
      <c r="G190" s="111"/>
      <c r="H190" s="111"/>
      <c r="I190" s="111"/>
      <c r="J190" s="136"/>
    </row>
    <row r="191" spans="1:10" ht="12.75">
      <c r="A191" s="4" t="s">
        <v>108</v>
      </c>
      <c r="B191" s="18" t="s">
        <v>165</v>
      </c>
      <c r="C191" s="19" t="s">
        <v>16</v>
      </c>
      <c r="D191" s="19" t="s">
        <v>52</v>
      </c>
      <c r="E191" s="19"/>
      <c r="F191" s="37"/>
      <c r="G191" s="109">
        <f>G192+G195</f>
        <v>10204509</v>
      </c>
      <c r="H191" s="109">
        <f>H192+H195</f>
        <v>100596</v>
      </c>
      <c r="I191" s="109">
        <f>SUM(G191:H191)</f>
        <v>10305105</v>
      </c>
      <c r="J191" s="134"/>
    </row>
    <row r="192" spans="1:10" ht="38.25">
      <c r="A192" s="7" t="s">
        <v>91</v>
      </c>
      <c r="B192" s="1" t="s">
        <v>165</v>
      </c>
      <c r="C192" s="1" t="s">
        <v>16</v>
      </c>
      <c r="D192" s="1" t="s">
        <v>52</v>
      </c>
      <c r="E192" s="1" t="s">
        <v>92</v>
      </c>
      <c r="F192" s="17"/>
      <c r="G192" s="107">
        <f>G193</f>
        <v>9674509</v>
      </c>
      <c r="H192" s="107">
        <f>H193</f>
        <v>596</v>
      </c>
      <c r="I192" s="107">
        <f aca="true" t="shared" si="19" ref="I192:I198">SUM(G192:H192)</f>
        <v>9675105</v>
      </c>
      <c r="J192" s="137"/>
    </row>
    <row r="193" spans="1:10" ht="12.75">
      <c r="A193" s="2" t="s">
        <v>94</v>
      </c>
      <c r="B193" s="1" t="s">
        <v>165</v>
      </c>
      <c r="C193" s="1" t="s">
        <v>16</v>
      </c>
      <c r="D193" s="1" t="s">
        <v>52</v>
      </c>
      <c r="E193" s="1" t="s">
        <v>95</v>
      </c>
      <c r="F193" s="17"/>
      <c r="G193" s="111">
        <f>G194</f>
        <v>9674509</v>
      </c>
      <c r="H193" s="111">
        <f>H194</f>
        <v>596</v>
      </c>
      <c r="I193" s="107">
        <f t="shared" si="19"/>
        <v>9675105</v>
      </c>
      <c r="J193" s="137"/>
    </row>
    <row r="194" spans="1:10" ht="12.75" customHeight="1">
      <c r="A194" s="15" t="s">
        <v>134</v>
      </c>
      <c r="B194" s="1" t="s">
        <v>165</v>
      </c>
      <c r="C194" s="1" t="s">
        <v>16</v>
      </c>
      <c r="D194" s="1" t="s">
        <v>52</v>
      </c>
      <c r="E194" s="1" t="s">
        <v>95</v>
      </c>
      <c r="F194" s="17" t="s">
        <v>133</v>
      </c>
      <c r="G194" s="111">
        <v>9674509</v>
      </c>
      <c r="H194" s="111">
        <v>596</v>
      </c>
      <c r="I194" s="107">
        <f t="shared" si="19"/>
        <v>9675105</v>
      </c>
      <c r="J194" s="137"/>
    </row>
    <row r="195" spans="1:10" ht="12.75">
      <c r="A195" s="2" t="s">
        <v>147</v>
      </c>
      <c r="B195" s="61" t="s">
        <v>165</v>
      </c>
      <c r="C195" s="1" t="s">
        <v>16</v>
      </c>
      <c r="D195" s="1" t="s">
        <v>52</v>
      </c>
      <c r="E195" s="1" t="s">
        <v>148</v>
      </c>
      <c r="F195" s="17"/>
      <c r="G195" s="111">
        <f>+G196</f>
        <v>530000</v>
      </c>
      <c r="H195" s="111">
        <f>+H196</f>
        <v>100000</v>
      </c>
      <c r="I195" s="107">
        <f t="shared" si="19"/>
        <v>630000</v>
      </c>
      <c r="J195" s="137"/>
    </row>
    <row r="196" spans="1:10" ht="38.25">
      <c r="A196" s="7" t="s">
        <v>351</v>
      </c>
      <c r="B196" s="61" t="s">
        <v>165</v>
      </c>
      <c r="C196" s="1" t="s">
        <v>16</v>
      </c>
      <c r="D196" s="1" t="s">
        <v>52</v>
      </c>
      <c r="E196" s="1" t="s">
        <v>220</v>
      </c>
      <c r="F196" s="17"/>
      <c r="G196" s="111">
        <f>SUM(G197:G198)</f>
        <v>530000</v>
      </c>
      <c r="H196" s="111">
        <f>SUM(H197:H198)</f>
        <v>100000</v>
      </c>
      <c r="I196" s="107">
        <f t="shared" si="19"/>
        <v>630000</v>
      </c>
      <c r="J196" s="137"/>
    </row>
    <row r="197" spans="1:12" ht="12.75">
      <c r="A197" s="7" t="s">
        <v>283</v>
      </c>
      <c r="B197" s="61" t="s">
        <v>165</v>
      </c>
      <c r="C197" s="1" t="s">
        <v>16</v>
      </c>
      <c r="D197" s="1" t="s">
        <v>52</v>
      </c>
      <c r="E197" s="1" t="s">
        <v>220</v>
      </c>
      <c r="F197" s="17" t="s">
        <v>282</v>
      </c>
      <c r="G197" s="111">
        <v>354400</v>
      </c>
      <c r="H197" s="111">
        <v>100000</v>
      </c>
      <c r="I197" s="107">
        <f t="shared" si="19"/>
        <v>454400</v>
      </c>
      <c r="J197" s="137"/>
      <c r="L197" s="122"/>
    </row>
    <row r="198" spans="1:12" ht="12.75">
      <c r="A198" s="15" t="s">
        <v>303</v>
      </c>
      <c r="B198" s="61" t="s">
        <v>165</v>
      </c>
      <c r="C198" s="1" t="s">
        <v>16</v>
      </c>
      <c r="D198" s="1" t="s">
        <v>52</v>
      </c>
      <c r="E198" s="1" t="s">
        <v>220</v>
      </c>
      <c r="F198" s="17" t="s">
        <v>302</v>
      </c>
      <c r="G198" s="111">
        <v>175600</v>
      </c>
      <c r="H198" s="111"/>
      <c r="I198" s="107">
        <f t="shared" si="19"/>
        <v>175600</v>
      </c>
      <c r="J198" s="137"/>
      <c r="L198" s="122"/>
    </row>
    <row r="199" spans="1:10" ht="12.75">
      <c r="A199" s="2"/>
      <c r="B199" s="61"/>
      <c r="C199" s="1"/>
      <c r="D199" s="1"/>
      <c r="E199" s="1"/>
      <c r="F199" s="17"/>
      <c r="G199" s="111"/>
      <c r="H199" s="111"/>
      <c r="I199" s="111"/>
      <c r="J199" s="136"/>
    </row>
    <row r="200" spans="1:10" ht="15.75">
      <c r="A200" s="34" t="s">
        <v>22</v>
      </c>
      <c r="B200" s="35" t="s">
        <v>165</v>
      </c>
      <c r="C200" s="41" t="s">
        <v>88</v>
      </c>
      <c r="D200" s="1"/>
      <c r="E200" s="1"/>
      <c r="F200" s="17"/>
      <c r="G200" s="108">
        <f>G201+G211</f>
        <v>10791000</v>
      </c>
      <c r="H200" s="108">
        <f>H201+H211</f>
        <v>0</v>
      </c>
      <c r="I200" s="108">
        <f>SUM(G200:H200)</f>
        <v>10791000</v>
      </c>
      <c r="J200" s="133"/>
    </row>
    <row r="201" spans="1:10" ht="12.75">
      <c r="A201" s="23" t="s">
        <v>64</v>
      </c>
      <c r="B201" s="18" t="s">
        <v>165</v>
      </c>
      <c r="C201" s="18" t="s">
        <v>88</v>
      </c>
      <c r="D201" s="18" t="s">
        <v>54</v>
      </c>
      <c r="E201" s="1"/>
      <c r="F201" s="17"/>
      <c r="G201" s="109">
        <f>SUM(G202+G206)</f>
        <v>8880000</v>
      </c>
      <c r="H201" s="109">
        <f>SUM(H202+H206)</f>
        <v>0</v>
      </c>
      <c r="I201" s="109">
        <f>SUM(G201:H201)</f>
        <v>8880000</v>
      </c>
      <c r="J201" s="134"/>
    </row>
    <row r="202" spans="1:10" ht="12.75">
      <c r="A202" s="7" t="s">
        <v>124</v>
      </c>
      <c r="B202" s="1" t="s">
        <v>165</v>
      </c>
      <c r="C202" s="1" t="s">
        <v>88</v>
      </c>
      <c r="D202" s="1" t="s">
        <v>54</v>
      </c>
      <c r="E202" s="1" t="s">
        <v>125</v>
      </c>
      <c r="F202" s="21"/>
      <c r="G202" s="107">
        <f aca="true" t="shared" si="20" ref="G202:H204">G203</f>
        <v>8406000</v>
      </c>
      <c r="H202" s="107">
        <f t="shared" si="20"/>
        <v>0</v>
      </c>
      <c r="I202" s="107">
        <f aca="true" t="shared" si="21" ref="I202:I209">SUM(G202:H202)</f>
        <v>8406000</v>
      </c>
      <c r="J202" s="137"/>
    </row>
    <row r="203" spans="1:10" ht="52.5" customHeight="1">
      <c r="A203" s="13" t="s">
        <v>152</v>
      </c>
      <c r="B203" s="1" t="s">
        <v>165</v>
      </c>
      <c r="C203" s="14" t="s">
        <v>88</v>
      </c>
      <c r="D203" s="14" t="s">
        <v>54</v>
      </c>
      <c r="E203" s="14" t="s">
        <v>151</v>
      </c>
      <c r="F203" s="21"/>
      <c r="G203" s="107">
        <f t="shared" si="20"/>
        <v>8406000</v>
      </c>
      <c r="H203" s="107">
        <f t="shared" si="20"/>
        <v>0</v>
      </c>
      <c r="I203" s="107">
        <f t="shared" si="21"/>
        <v>8406000</v>
      </c>
      <c r="J203" s="137"/>
    </row>
    <row r="204" spans="1:10" ht="65.25" customHeight="1">
      <c r="A204" s="13" t="s">
        <v>294</v>
      </c>
      <c r="B204" s="1" t="s">
        <v>165</v>
      </c>
      <c r="C204" s="14" t="s">
        <v>88</v>
      </c>
      <c r="D204" s="14" t="s">
        <v>54</v>
      </c>
      <c r="E204" s="14" t="s">
        <v>153</v>
      </c>
      <c r="F204" s="21"/>
      <c r="G204" s="107">
        <f t="shared" si="20"/>
        <v>8406000</v>
      </c>
      <c r="H204" s="107">
        <f t="shared" si="20"/>
        <v>0</v>
      </c>
      <c r="I204" s="107">
        <f t="shared" si="21"/>
        <v>8406000</v>
      </c>
      <c r="J204" s="137"/>
    </row>
    <row r="205" spans="1:10" ht="12.75">
      <c r="A205" s="7" t="s">
        <v>283</v>
      </c>
      <c r="B205" s="1" t="s">
        <v>165</v>
      </c>
      <c r="C205" s="14" t="s">
        <v>88</v>
      </c>
      <c r="D205" s="14" t="s">
        <v>54</v>
      </c>
      <c r="E205" s="14" t="s">
        <v>153</v>
      </c>
      <c r="F205" s="21" t="s">
        <v>282</v>
      </c>
      <c r="G205" s="107">
        <v>8406000</v>
      </c>
      <c r="H205" s="107"/>
      <c r="I205" s="107">
        <f t="shared" si="21"/>
        <v>8406000</v>
      </c>
      <c r="J205" s="137"/>
    </row>
    <row r="206" spans="1:10" ht="12.75">
      <c r="A206" s="2" t="s">
        <v>128</v>
      </c>
      <c r="B206" s="1" t="s">
        <v>165</v>
      </c>
      <c r="C206" s="1" t="s">
        <v>88</v>
      </c>
      <c r="D206" s="1" t="s">
        <v>54</v>
      </c>
      <c r="E206" s="1" t="s">
        <v>42</v>
      </c>
      <c r="F206" s="17"/>
      <c r="G206" s="111">
        <f aca="true" t="shared" si="22" ref="G206:H208">G207</f>
        <v>474000</v>
      </c>
      <c r="H206" s="111">
        <f t="shared" si="22"/>
        <v>0</v>
      </c>
      <c r="I206" s="107">
        <f t="shared" si="21"/>
        <v>474000</v>
      </c>
      <c r="J206" s="137"/>
    </row>
    <row r="207" spans="1:10" ht="38.25" customHeight="1">
      <c r="A207" s="2" t="s">
        <v>101</v>
      </c>
      <c r="B207" s="1" t="s">
        <v>165</v>
      </c>
      <c r="C207" s="1" t="s">
        <v>88</v>
      </c>
      <c r="D207" s="1" t="s">
        <v>54</v>
      </c>
      <c r="E207" s="1" t="s">
        <v>43</v>
      </c>
      <c r="F207" s="17"/>
      <c r="G207" s="111">
        <f t="shared" si="22"/>
        <v>474000</v>
      </c>
      <c r="H207" s="111">
        <f t="shared" si="22"/>
        <v>0</v>
      </c>
      <c r="I207" s="107">
        <f t="shared" si="21"/>
        <v>474000</v>
      </c>
      <c r="J207" s="137"/>
    </row>
    <row r="208" spans="1:10" ht="25.5">
      <c r="A208" s="7" t="s">
        <v>206</v>
      </c>
      <c r="B208" s="1" t="s">
        <v>165</v>
      </c>
      <c r="C208" s="1" t="s">
        <v>88</v>
      </c>
      <c r="D208" s="1" t="s">
        <v>54</v>
      </c>
      <c r="E208" s="1" t="s">
        <v>144</v>
      </c>
      <c r="F208" s="17"/>
      <c r="G208" s="111">
        <f t="shared" si="22"/>
        <v>474000</v>
      </c>
      <c r="H208" s="111">
        <f t="shared" si="22"/>
        <v>0</v>
      </c>
      <c r="I208" s="107">
        <f t="shared" si="21"/>
        <v>474000</v>
      </c>
      <c r="J208" s="137"/>
    </row>
    <row r="209" spans="1:10" ht="12.75">
      <c r="A209" s="7" t="s">
        <v>283</v>
      </c>
      <c r="B209" s="1" t="s">
        <v>165</v>
      </c>
      <c r="C209" s="1" t="s">
        <v>88</v>
      </c>
      <c r="D209" s="1" t="s">
        <v>54</v>
      </c>
      <c r="E209" s="1" t="s">
        <v>144</v>
      </c>
      <c r="F209" s="17" t="s">
        <v>282</v>
      </c>
      <c r="G209" s="111">
        <v>474000</v>
      </c>
      <c r="H209" s="111"/>
      <c r="I209" s="107">
        <f t="shared" si="21"/>
        <v>474000</v>
      </c>
      <c r="J209" s="137"/>
    </row>
    <row r="210" spans="1:10" ht="12.75">
      <c r="A210" s="102"/>
      <c r="B210" s="97"/>
      <c r="C210" s="98"/>
      <c r="D210" s="98"/>
      <c r="E210" s="98"/>
      <c r="F210" s="99"/>
      <c r="G210" s="115"/>
      <c r="H210" s="115"/>
      <c r="I210" s="115"/>
      <c r="J210" s="136"/>
    </row>
    <row r="211" spans="1:10" ht="12.75">
      <c r="A211" s="23" t="s">
        <v>256</v>
      </c>
      <c r="B211" s="18" t="s">
        <v>165</v>
      </c>
      <c r="C211" s="18" t="s">
        <v>88</v>
      </c>
      <c r="D211" s="18" t="s">
        <v>17</v>
      </c>
      <c r="E211" s="1"/>
      <c r="F211" s="17"/>
      <c r="G211" s="109">
        <f>+G212+G215</f>
        <v>1911000</v>
      </c>
      <c r="H211" s="109">
        <f>+H212+H215</f>
        <v>0</v>
      </c>
      <c r="I211" s="109">
        <f>SUM(G211:H211)</f>
        <v>1911000</v>
      </c>
      <c r="J211" s="134"/>
    </row>
    <row r="212" spans="1:10" ht="25.5">
      <c r="A212" s="7" t="s">
        <v>254</v>
      </c>
      <c r="B212" s="1" t="s">
        <v>165</v>
      </c>
      <c r="C212" s="1" t="s">
        <v>88</v>
      </c>
      <c r="D212" s="1" t="s">
        <v>17</v>
      </c>
      <c r="E212" s="1" t="s">
        <v>407</v>
      </c>
      <c r="F212" s="17"/>
      <c r="G212" s="111">
        <f>+G213</f>
        <v>59000</v>
      </c>
      <c r="H212" s="111">
        <f>+H213</f>
        <v>0</v>
      </c>
      <c r="I212" s="107">
        <f aca="true" t="shared" si="23" ref="I212:I218">SUM(G212:H212)</f>
        <v>59000</v>
      </c>
      <c r="J212" s="137"/>
    </row>
    <row r="213" spans="1:10" ht="25.5">
      <c r="A213" s="7" t="s">
        <v>255</v>
      </c>
      <c r="B213" s="1" t="s">
        <v>165</v>
      </c>
      <c r="C213" s="1" t="s">
        <v>88</v>
      </c>
      <c r="D213" s="1" t="s">
        <v>17</v>
      </c>
      <c r="E213" s="1" t="s">
        <v>407</v>
      </c>
      <c r="F213" s="17"/>
      <c r="G213" s="111">
        <f>+G214</f>
        <v>59000</v>
      </c>
      <c r="H213" s="111">
        <f>+H214</f>
        <v>0</v>
      </c>
      <c r="I213" s="107">
        <f t="shared" si="23"/>
        <v>59000</v>
      </c>
      <c r="J213" s="137"/>
    </row>
    <row r="214" spans="1:10" ht="12.75">
      <c r="A214" s="15" t="s">
        <v>134</v>
      </c>
      <c r="B214" s="1" t="s">
        <v>165</v>
      </c>
      <c r="C214" s="1" t="s">
        <v>88</v>
      </c>
      <c r="D214" s="1" t="s">
        <v>17</v>
      </c>
      <c r="E214" s="1" t="s">
        <v>407</v>
      </c>
      <c r="F214" s="17" t="s">
        <v>133</v>
      </c>
      <c r="G214" s="111">
        <v>59000</v>
      </c>
      <c r="H214" s="111"/>
      <c r="I214" s="107">
        <f t="shared" si="23"/>
        <v>59000</v>
      </c>
      <c r="J214" s="137"/>
    </row>
    <row r="215" spans="1:10" ht="12.75">
      <c r="A215" s="2" t="s">
        <v>128</v>
      </c>
      <c r="B215" s="1" t="s">
        <v>165</v>
      </c>
      <c r="C215" s="1" t="s">
        <v>88</v>
      </c>
      <c r="D215" s="1" t="s">
        <v>17</v>
      </c>
      <c r="E215" s="98" t="s">
        <v>42</v>
      </c>
      <c r="F215" s="99"/>
      <c r="G215" s="115">
        <f aca="true" t="shared" si="24" ref="G215:H217">+G216</f>
        <v>1852000</v>
      </c>
      <c r="H215" s="115">
        <f t="shared" si="24"/>
        <v>0</v>
      </c>
      <c r="I215" s="107">
        <f t="shared" si="23"/>
        <v>1852000</v>
      </c>
      <c r="J215" s="137"/>
    </row>
    <row r="216" spans="1:10" ht="51">
      <c r="A216" s="2" t="s">
        <v>292</v>
      </c>
      <c r="B216" s="1" t="s">
        <v>165</v>
      </c>
      <c r="C216" s="1" t="s">
        <v>88</v>
      </c>
      <c r="D216" s="1" t="s">
        <v>17</v>
      </c>
      <c r="E216" s="98" t="s">
        <v>45</v>
      </c>
      <c r="F216" s="99"/>
      <c r="G216" s="115">
        <f t="shared" si="24"/>
        <v>1852000</v>
      </c>
      <c r="H216" s="115">
        <f t="shared" si="24"/>
        <v>0</v>
      </c>
      <c r="I216" s="107">
        <f t="shared" si="23"/>
        <v>1852000</v>
      </c>
      <c r="J216" s="137"/>
    </row>
    <row r="217" spans="1:10" ht="25.5" customHeight="1">
      <c r="A217" s="96" t="s">
        <v>293</v>
      </c>
      <c r="B217" s="1" t="s">
        <v>165</v>
      </c>
      <c r="C217" s="1" t="s">
        <v>88</v>
      </c>
      <c r="D217" s="1" t="s">
        <v>17</v>
      </c>
      <c r="E217" s="98" t="s">
        <v>46</v>
      </c>
      <c r="F217" s="99"/>
      <c r="G217" s="115">
        <f t="shared" si="24"/>
        <v>1852000</v>
      </c>
      <c r="H217" s="115">
        <f t="shared" si="24"/>
        <v>0</v>
      </c>
      <c r="I217" s="107">
        <f t="shared" si="23"/>
        <v>1852000</v>
      </c>
      <c r="J217" s="137"/>
    </row>
    <row r="218" spans="1:13" ht="12.75">
      <c r="A218" s="15" t="s">
        <v>134</v>
      </c>
      <c r="B218" s="1" t="s">
        <v>165</v>
      </c>
      <c r="C218" s="1" t="s">
        <v>88</v>
      </c>
      <c r="D218" s="1" t="s">
        <v>17</v>
      </c>
      <c r="E218" s="98" t="s">
        <v>46</v>
      </c>
      <c r="F218" s="99" t="s">
        <v>133</v>
      </c>
      <c r="G218" s="115">
        <v>1852000</v>
      </c>
      <c r="H218" s="115"/>
      <c r="I218" s="107">
        <f t="shared" si="23"/>
        <v>1852000</v>
      </c>
      <c r="J218" s="137"/>
      <c r="M218" s="122"/>
    </row>
    <row r="219" spans="1:13" ht="12.75">
      <c r="A219" s="96"/>
      <c r="B219" s="97"/>
      <c r="C219" s="98"/>
      <c r="D219" s="98"/>
      <c r="E219" s="98"/>
      <c r="F219" s="99"/>
      <c r="G219" s="115"/>
      <c r="H219" s="115"/>
      <c r="I219" s="140"/>
      <c r="J219" s="137"/>
      <c r="M219" s="122"/>
    </row>
    <row r="220" spans="1:13" ht="15.75">
      <c r="A220" s="45" t="s">
        <v>18</v>
      </c>
      <c r="B220" s="41" t="s">
        <v>165</v>
      </c>
      <c r="C220" s="41" t="s">
        <v>58</v>
      </c>
      <c r="D220" s="98"/>
      <c r="E220" s="98"/>
      <c r="F220" s="99"/>
      <c r="G220" s="146">
        <f>SUM(G221+G226)</f>
        <v>0</v>
      </c>
      <c r="H220" s="146">
        <f>SUM(H221+H226)</f>
        <v>1044000</v>
      </c>
      <c r="I220" s="108">
        <f aca="true" t="shared" si="25" ref="I220:I229">SUM(G220:H220)</f>
        <v>1044000</v>
      </c>
      <c r="J220" s="137"/>
      <c r="M220" s="122"/>
    </row>
    <row r="221" spans="1:13" ht="12.75">
      <c r="A221" s="33" t="s">
        <v>191</v>
      </c>
      <c r="B221" s="18" t="s">
        <v>165</v>
      </c>
      <c r="C221" s="18" t="s">
        <v>58</v>
      </c>
      <c r="D221" s="18" t="s">
        <v>59</v>
      </c>
      <c r="E221" s="18"/>
      <c r="F221" s="40"/>
      <c r="G221" s="141">
        <f aca="true" t="shared" si="26" ref="G221:H223">G222</f>
        <v>0</v>
      </c>
      <c r="H221" s="141">
        <f t="shared" si="26"/>
        <v>200000</v>
      </c>
      <c r="I221" s="109">
        <f t="shared" si="25"/>
        <v>200000</v>
      </c>
      <c r="J221" s="137"/>
      <c r="M221" s="122"/>
    </row>
    <row r="222" spans="1:13" ht="25.5">
      <c r="A222" s="2" t="s">
        <v>19</v>
      </c>
      <c r="B222" s="1" t="s">
        <v>165</v>
      </c>
      <c r="C222" s="1" t="s">
        <v>58</v>
      </c>
      <c r="D222" s="1" t="s">
        <v>59</v>
      </c>
      <c r="E222" s="1" t="s">
        <v>20</v>
      </c>
      <c r="F222" s="17"/>
      <c r="G222" s="115">
        <f t="shared" si="26"/>
        <v>0</v>
      </c>
      <c r="H222" s="115">
        <f t="shared" si="26"/>
        <v>200000</v>
      </c>
      <c r="I222" s="107">
        <f t="shared" si="25"/>
        <v>200000</v>
      </c>
      <c r="J222" s="137"/>
      <c r="M222" s="122"/>
    </row>
    <row r="223" spans="1:13" ht="25.5">
      <c r="A223" s="2" t="s">
        <v>228</v>
      </c>
      <c r="B223" s="1" t="s">
        <v>165</v>
      </c>
      <c r="C223" s="1" t="s">
        <v>58</v>
      </c>
      <c r="D223" s="1" t="s">
        <v>59</v>
      </c>
      <c r="E223" s="1" t="s">
        <v>21</v>
      </c>
      <c r="F223" s="17"/>
      <c r="G223" s="115">
        <f t="shared" si="26"/>
        <v>0</v>
      </c>
      <c r="H223" s="115">
        <f t="shared" si="26"/>
        <v>200000</v>
      </c>
      <c r="I223" s="107">
        <f t="shared" si="25"/>
        <v>200000</v>
      </c>
      <c r="J223" s="137"/>
      <c r="M223" s="122"/>
    </row>
    <row r="224" spans="1:13" ht="12.75">
      <c r="A224" s="7" t="s">
        <v>283</v>
      </c>
      <c r="B224" s="1" t="s">
        <v>165</v>
      </c>
      <c r="C224" s="1" t="s">
        <v>58</v>
      </c>
      <c r="D224" s="1" t="s">
        <v>59</v>
      </c>
      <c r="E224" s="1" t="s">
        <v>21</v>
      </c>
      <c r="F224" s="17" t="s">
        <v>282</v>
      </c>
      <c r="G224" s="115"/>
      <c r="H224" s="115">
        <v>200000</v>
      </c>
      <c r="I224" s="107">
        <f t="shared" si="25"/>
        <v>200000</v>
      </c>
      <c r="J224" s="137"/>
      <c r="M224" s="122"/>
    </row>
    <row r="225" spans="1:13" ht="12.75">
      <c r="A225" s="142"/>
      <c r="B225" s="97"/>
      <c r="C225" s="98"/>
      <c r="D225" s="98"/>
      <c r="E225" s="98"/>
      <c r="F225" s="99"/>
      <c r="G225" s="115"/>
      <c r="H225" s="115"/>
      <c r="I225" s="140"/>
      <c r="J225" s="137"/>
      <c r="M225" s="122"/>
    </row>
    <row r="226" spans="1:13" ht="12.75">
      <c r="A226" s="143" t="s">
        <v>457</v>
      </c>
      <c r="B226" s="144" t="s">
        <v>165</v>
      </c>
      <c r="C226" s="145" t="s">
        <v>58</v>
      </c>
      <c r="D226" s="145" t="s">
        <v>55</v>
      </c>
      <c r="E226" s="98"/>
      <c r="F226" s="99"/>
      <c r="G226" s="141">
        <f aca="true" t="shared" si="27" ref="G226:H228">G227</f>
        <v>0</v>
      </c>
      <c r="H226" s="141">
        <f t="shared" si="27"/>
        <v>844000</v>
      </c>
      <c r="I226" s="109">
        <f t="shared" si="25"/>
        <v>844000</v>
      </c>
      <c r="J226" s="137"/>
      <c r="M226" s="122"/>
    </row>
    <row r="227" spans="1:13" ht="12.75">
      <c r="A227" s="7" t="s">
        <v>140</v>
      </c>
      <c r="B227" s="1" t="s">
        <v>165</v>
      </c>
      <c r="C227" s="1" t="s">
        <v>58</v>
      </c>
      <c r="D227" s="1" t="s">
        <v>55</v>
      </c>
      <c r="E227" s="1" t="s">
        <v>141</v>
      </c>
      <c r="F227" s="99"/>
      <c r="G227" s="115">
        <f t="shared" si="27"/>
        <v>0</v>
      </c>
      <c r="H227" s="115">
        <f t="shared" si="27"/>
        <v>844000</v>
      </c>
      <c r="I227" s="107">
        <f t="shared" si="25"/>
        <v>844000</v>
      </c>
      <c r="J227" s="137"/>
      <c r="M227" s="122"/>
    </row>
    <row r="228" spans="1:13" ht="25.5">
      <c r="A228" s="142" t="s">
        <v>461</v>
      </c>
      <c r="B228" s="1" t="s">
        <v>165</v>
      </c>
      <c r="C228" s="1" t="s">
        <v>58</v>
      </c>
      <c r="D228" s="1" t="s">
        <v>55</v>
      </c>
      <c r="E228" s="1" t="s">
        <v>462</v>
      </c>
      <c r="F228" s="99"/>
      <c r="G228" s="115">
        <f t="shared" si="27"/>
        <v>0</v>
      </c>
      <c r="H228" s="115">
        <f t="shared" si="27"/>
        <v>844000</v>
      </c>
      <c r="I228" s="107">
        <f t="shared" si="25"/>
        <v>844000</v>
      </c>
      <c r="J228" s="137"/>
      <c r="M228" s="122"/>
    </row>
    <row r="229" spans="1:13" ht="12.75">
      <c r="A229" s="7" t="s">
        <v>283</v>
      </c>
      <c r="B229" s="1" t="s">
        <v>165</v>
      </c>
      <c r="C229" s="1" t="s">
        <v>58</v>
      </c>
      <c r="D229" s="1" t="s">
        <v>55</v>
      </c>
      <c r="E229" s="1" t="s">
        <v>462</v>
      </c>
      <c r="F229" s="99" t="s">
        <v>282</v>
      </c>
      <c r="G229" s="115"/>
      <c r="H229" s="115">
        <v>844000</v>
      </c>
      <c r="I229" s="107">
        <f t="shared" si="25"/>
        <v>844000</v>
      </c>
      <c r="J229" s="137"/>
      <c r="M229" s="122"/>
    </row>
    <row r="230" spans="1:13" ht="12.75">
      <c r="A230" s="142"/>
      <c r="B230" s="97"/>
      <c r="C230" s="98"/>
      <c r="D230" s="98"/>
      <c r="E230" s="98"/>
      <c r="F230" s="99"/>
      <c r="G230" s="115"/>
      <c r="H230" s="115"/>
      <c r="I230" s="140"/>
      <c r="J230" s="137"/>
      <c r="M230" s="122"/>
    </row>
    <row r="231" spans="1:10" ht="25.5">
      <c r="A231" s="54" t="s">
        <v>299</v>
      </c>
      <c r="B231" s="59" t="s">
        <v>300</v>
      </c>
      <c r="C231" s="55"/>
      <c r="D231" s="55"/>
      <c r="E231" s="55"/>
      <c r="F231" s="55"/>
      <c r="G231" s="113">
        <f>G232+G330+G341+G416+G456+G462+G499+G551+G545+G484+G324</f>
        <v>248082124.43</v>
      </c>
      <c r="H231" s="113">
        <f>H232+H330+H341+H416+H456+H462+H499+H551+H545+H484+H324</f>
        <v>34209722.94</v>
      </c>
      <c r="I231" s="114">
        <f aca="true" t="shared" si="28" ref="I231:I236">SUM(G231:H231)</f>
        <v>282291847.37</v>
      </c>
      <c r="J231" s="132"/>
    </row>
    <row r="232" spans="1:10" ht="15.75">
      <c r="A232" s="34" t="s">
        <v>90</v>
      </c>
      <c r="B232" s="35" t="s">
        <v>300</v>
      </c>
      <c r="C232" s="35" t="s">
        <v>59</v>
      </c>
      <c r="D232" s="1"/>
      <c r="E232" s="1"/>
      <c r="F232" s="1"/>
      <c r="G232" s="108">
        <f>SUM(G233+G238+G245+G270+G288+G294+G299)</f>
        <v>61799701.239999995</v>
      </c>
      <c r="H232" s="108">
        <f>SUM(H233+H238+H245+H270+H288+H294+H299)</f>
        <v>-864055.78</v>
      </c>
      <c r="I232" s="108">
        <f t="shared" si="28"/>
        <v>60935645.45999999</v>
      </c>
      <c r="J232" s="133"/>
    </row>
    <row r="233" spans="1:10" ht="38.25">
      <c r="A233" s="33" t="s">
        <v>178</v>
      </c>
      <c r="B233" s="18" t="s">
        <v>300</v>
      </c>
      <c r="C233" s="18" t="s">
        <v>59</v>
      </c>
      <c r="D233" s="18" t="s">
        <v>55</v>
      </c>
      <c r="E233" s="18"/>
      <c r="F233" s="1"/>
      <c r="G233" s="109">
        <f aca="true" t="shared" si="29" ref="G233:H235">G234</f>
        <v>1785452</v>
      </c>
      <c r="H233" s="109">
        <f t="shared" si="29"/>
        <v>0</v>
      </c>
      <c r="I233" s="109">
        <f t="shared" si="28"/>
        <v>1785452</v>
      </c>
      <c r="J233" s="134"/>
    </row>
    <row r="234" spans="1:10" ht="38.25">
      <c r="A234" s="15" t="s">
        <v>61</v>
      </c>
      <c r="B234" s="1" t="s">
        <v>300</v>
      </c>
      <c r="C234" s="1" t="s">
        <v>59</v>
      </c>
      <c r="D234" s="1" t="s">
        <v>55</v>
      </c>
      <c r="E234" s="1" t="s">
        <v>92</v>
      </c>
      <c r="F234" s="1"/>
      <c r="G234" s="111">
        <f t="shared" si="29"/>
        <v>1785452</v>
      </c>
      <c r="H234" s="111">
        <f t="shared" si="29"/>
        <v>0</v>
      </c>
      <c r="I234" s="107">
        <f t="shared" si="28"/>
        <v>1785452</v>
      </c>
      <c r="J234" s="137"/>
    </row>
    <row r="235" spans="1:10" ht="12.75">
      <c r="A235" s="15" t="s">
        <v>75</v>
      </c>
      <c r="B235" s="1" t="s">
        <v>300</v>
      </c>
      <c r="C235" s="1" t="s">
        <v>59</v>
      </c>
      <c r="D235" s="1" t="s">
        <v>55</v>
      </c>
      <c r="E235" s="1" t="s">
        <v>136</v>
      </c>
      <c r="F235" s="1"/>
      <c r="G235" s="111">
        <f t="shared" si="29"/>
        <v>1785452</v>
      </c>
      <c r="H235" s="111">
        <f t="shared" si="29"/>
        <v>0</v>
      </c>
      <c r="I235" s="107">
        <f t="shared" si="28"/>
        <v>1785452</v>
      </c>
      <c r="J235" s="137"/>
    </row>
    <row r="236" spans="1:10" ht="12.75">
      <c r="A236" s="15" t="s">
        <v>134</v>
      </c>
      <c r="B236" s="1" t="s">
        <v>300</v>
      </c>
      <c r="C236" s="1" t="s">
        <v>59</v>
      </c>
      <c r="D236" s="1" t="s">
        <v>55</v>
      </c>
      <c r="E236" s="1" t="s">
        <v>136</v>
      </c>
      <c r="F236" s="17" t="s">
        <v>133</v>
      </c>
      <c r="G236" s="111">
        <v>1785452</v>
      </c>
      <c r="H236" s="111"/>
      <c r="I236" s="107">
        <f t="shared" si="28"/>
        <v>1785452</v>
      </c>
      <c r="J236" s="137"/>
    </row>
    <row r="237" spans="1:10" ht="12.75">
      <c r="A237" s="7"/>
      <c r="B237" s="1"/>
      <c r="C237" s="1"/>
      <c r="D237" s="1"/>
      <c r="E237" s="1"/>
      <c r="F237" s="17"/>
      <c r="G237" s="111"/>
      <c r="H237" s="111"/>
      <c r="I237" s="111"/>
      <c r="J237" s="136"/>
    </row>
    <row r="238" spans="1:10" ht="38.25">
      <c r="A238" s="4" t="s">
        <v>96</v>
      </c>
      <c r="B238" s="18" t="s">
        <v>300</v>
      </c>
      <c r="C238" s="18" t="s">
        <v>59</v>
      </c>
      <c r="D238" s="18" t="s">
        <v>41</v>
      </c>
      <c r="E238" s="1"/>
      <c r="F238" s="1"/>
      <c r="G238" s="109">
        <f>G239</f>
        <v>1105607</v>
      </c>
      <c r="H238" s="109">
        <f>H239</f>
        <v>0</v>
      </c>
      <c r="I238" s="109">
        <f aca="true" t="shared" si="30" ref="I238:I243">SUM(G238:H238)</f>
        <v>1105607</v>
      </c>
      <c r="J238" s="134"/>
    </row>
    <row r="239" spans="1:10" ht="38.25">
      <c r="A239" s="7" t="s">
        <v>91</v>
      </c>
      <c r="B239" s="1" t="s">
        <v>300</v>
      </c>
      <c r="C239" s="1" t="s">
        <v>59</v>
      </c>
      <c r="D239" s="1" t="s">
        <v>41</v>
      </c>
      <c r="E239" s="1" t="s">
        <v>92</v>
      </c>
      <c r="F239" s="1"/>
      <c r="G239" s="111">
        <f>G240+G242</f>
        <v>1105607</v>
      </c>
      <c r="H239" s="111">
        <f>H240+H242</f>
        <v>0</v>
      </c>
      <c r="I239" s="107">
        <f t="shared" si="30"/>
        <v>1105607</v>
      </c>
      <c r="J239" s="137"/>
    </row>
    <row r="240" spans="1:10" ht="12.75">
      <c r="A240" s="5" t="s">
        <v>94</v>
      </c>
      <c r="B240" s="1" t="s">
        <v>300</v>
      </c>
      <c r="C240" s="1" t="s">
        <v>59</v>
      </c>
      <c r="D240" s="1" t="s">
        <v>41</v>
      </c>
      <c r="E240" s="1" t="s">
        <v>95</v>
      </c>
      <c r="F240" s="1"/>
      <c r="G240" s="111">
        <f>G241</f>
        <v>50000</v>
      </c>
      <c r="H240" s="111">
        <f>H241</f>
        <v>0</v>
      </c>
      <c r="I240" s="107">
        <f t="shared" si="30"/>
        <v>50000</v>
      </c>
      <c r="J240" s="137"/>
    </row>
    <row r="241" spans="1:10" ht="12.75">
      <c r="A241" s="15" t="s">
        <v>134</v>
      </c>
      <c r="B241" s="1" t="s">
        <v>300</v>
      </c>
      <c r="C241" s="1" t="s">
        <v>59</v>
      </c>
      <c r="D241" s="1" t="s">
        <v>41</v>
      </c>
      <c r="E241" s="1" t="s">
        <v>95</v>
      </c>
      <c r="F241" s="17" t="s">
        <v>133</v>
      </c>
      <c r="G241" s="111">
        <v>50000</v>
      </c>
      <c r="H241" s="111"/>
      <c r="I241" s="107">
        <f t="shared" si="30"/>
        <v>50000</v>
      </c>
      <c r="J241" s="137"/>
    </row>
    <row r="242" spans="1:10" ht="25.5">
      <c r="A242" s="5" t="s">
        <v>76</v>
      </c>
      <c r="B242" s="1" t="s">
        <v>300</v>
      </c>
      <c r="C242" s="1" t="s">
        <v>59</v>
      </c>
      <c r="D242" s="1" t="s">
        <v>41</v>
      </c>
      <c r="E242" s="1" t="s">
        <v>137</v>
      </c>
      <c r="F242" s="17"/>
      <c r="G242" s="111">
        <f>G243</f>
        <v>1055607</v>
      </c>
      <c r="H242" s="111">
        <f>H243</f>
        <v>0</v>
      </c>
      <c r="I242" s="107">
        <f t="shared" si="30"/>
        <v>1055607</v>
      </c>
      <c r="J242" s="137"/>
    </row>
    <row r="243" spans="1:10" ht="12.75">
      <c r="A243" s="15" t="s">
        <v>134</v>
      </c>
      <c r="B243" s="1" t="s">
        <v>300</v>
      </c>
      <c r="C243" s="1" t="s">
        <v>59</v>
      </c>
      <c r="D243" s="1" t="s">
        <v>41</v>
      </c>
      <c r="E243" s="1" t="s">
        <v>137</v>
      </c>
      <c r="F243" s="17" t="s">
        <v>133</v>
      </c>
      <c r="G243" s="111">
        <v>1055607</v>
      </c>
      <c r="H243" s="111"/>
      <c r="I243" s="107">
        <f t="shared" si="30"/>
        <v>1055607</v>
      </c>
      <c r="J243" s="137"/>
    </row>
    <row r="244" spans="1:10" ht="12.75">
      <c r="A244" s="15"/>
      <c r="B244" s="1"/>
      <c r="C244" s="1"/>
      <c r="D244" s="1"/>
      <c r="E244" s="1"/>
      <c r="F244" s="17"/>
      <c r="G244" s="111"/>
      <c r="H244" s="111"/>
      <c r="I244" s="111"/>
      <c r="J244" s="136"/>
    </row>
    <row r="245" spans="1:10" ht="51">
      <c r="A245" s="33" t="s">
        <v>11</v>
      </c>
      <c r="B245" s="18" t="s">
        <v>300</v>
      </c>
      <c r="C245" s="18" t="s">
        <v>59</v>
      </c>
      <c r="D245" s="18" t="s">
        <v>54</v>
      </c>
      <c r="E245" s="1"/>
      <c r="F245" s="17"/>
      <c r="G245" s="109">
        <f>SUM(G246+G250+G266)</f>
        <v>28648527.29</v>
      </c>
      <c r="H245" s="109">
        <f>SUM(H246+H250+H266)</f>
        <v>3053</v>
      </c>
      <c r="I245" s="109">
        <f>SUM(G245:H245)</f>
        <v>28651580.29</v>
      </c>
      <c r="J245" s="134"/>
    </row>
    <row r="246" spans="1:10" ht="38.25">
      <c r="A246" s="15" t="s">
        <v>61</v>
      </c>
      <c r="B246" s="1" t="s">
        <v>300</v>
      </c>
      <c r="C246" s="1" t="s">
        <v>59</v>
      </c>
      <c r="D246" s="1" t="s">
        <v>54</v>
      </c>
      <c r="E246" s="1" t="s">
        <v>92</v>
      </c>
      <c r="F246" s="17"/>
      <c r="G246" s="111">
        <f>G247</f>
        <v>25956327.29</v>
      </c>
      <c r="H246" s="111">
        <f>H247</f>
        <v>3053</v>
      </c>
      <c r="I246" s="107">
        <f aca="true" t="shared" si="31" ref="I246:I263">SUM(G246:H246)</f>
        <v>25959380.29</v>
      </c>
      <c r="J246" s="137"/>
    </row>
    <row r="247" spans="1:10" ht="12.75">
      <c r="A247" s="15" t="s">
        <v>94</v>
      </c>
      <c r="B247" s="1" t="s">
        <v>300</v>
      </c>
      <c r="C247" s="1" t="s">
        <v>59</v>
      </c>
      <c r="D247" s="1" t="s">
        <v>54</v>
      </c>
      <c r="E247" s="1" t="s">
        <v>95</v>
      </c>
      <c r="F247" s="17"/>
      <c r="G247" s="111">
        <f>SUM(G248:G249)</f>
        <v>25956327.29</v>
      </c>
      <c r="H247" s="111">
        <f>SUM(H248:H249)</f>
        <v>3053</v>
      </c>
      <c r="I247" s="107">
        <f t="shared" si="31"/>
        <v>25959380.29</v>
      </c>
      <c r="J247" s="137"/>
    </row>
    <row r="248" spans="1:12" ht="12.75">
      <c r="A248" s="15" t="s">
        <v>66</v>
      </c>
      <c r="B248" s="1" t="s">
        <v>300</v>
      </c>
      <c r="C248" s="1" t="s">
        <v>59</v>
      </c>
      <c r="D248" s="1" t="s">
        <v>54</v>
      </c>
      <c r="E248" s="1" t="s">
        <v>95</v>
      </c>
      <c r="F248" s="17" t="s">
        <v>36</v>
      </c>
      <c r="G248" s="111">
        <v>297321.29</v>
      </c>
      <c r="H248" s="111"/>
      <c r="I248" s="107">
        <f t="shared" si="31"/>
        <v>297321.29</v>
      </c>
      <c r="J248" s="137"/>
      <c r="L248" s="123"/>
    </row>
    <row r="249" spans="1:10" ht="12.75">
      <c r="A249" s="15" t="s">
        <v>134</v>
      </c>
      <c r="B249" s="1" t="s">
        <v>300</v>
      </c>
      <c r="C249" s="1" t="s">
        <v>59</v>
      </c>
      <c r="D249" s="1" t="s">
        <v>54</v>
      </c>
      <c r="E249" s="1" t="s">
        <v>95</v>
      </c>
      <c r="F249" s="17" t="s">
        <v>133</v>
      </c>
      <c r="G249" s="111">
        <f>25858206-199200</f>
        <v>25659006</v>
      </c>
      <c r="H249" s="111">
        <v>3053</v>
      </c>
      <c r="I249" s="107">
        <f t="shared" si="31"/>
        <v>25662059</v>
      </c>
      <c r="J249" s="137"/>
    </row>
    <row r="250" spans="1:10" ht="12.75">
      <c r="A250" s="15" t="s">
        <v>128</v>
      </c>
      <c r="B250" s="1" t="s">
        <v>300</v>
      </c>
      <c r="C250" s="1" t="s">
        <v>59</v>
      </c>
      <c r="D250" s="1" t="s">
        <v>54</v>
      </c>
      <c r="E250" s="1" t="s">
        <v>42</v>
      </c>
      <c r="F250" s="17"/>
      <c r="G250" s="111">
        <f>SUM(G251+G262)</f>
        <v>2383600</v>
      </c>
      <c r="H250" s="111">
        <f>SUM(H251+H262)</f>
        <v>0</v>
      </c>
      <c r="I250" s="107">
        <f t="shared" si="31"/>
        <v>2383600</v>
      </c>
      <c r="J250" s="137"/>
    </row>
    <row r="251" spans="1:10" ht="51.75" customHeight="1">
      <c r="A251" s="15" t="s">
        <v>65</v>
      </c>
      <c r="B251" s="1" t="s">
        <v>300</v>
      </c>
      <c r="C251" s="1" t="s">
        <v>59</v>
      </c>
      <c r="D251" s="1" t="s">
        <v>54</v>
      </c>
      <c r="E251" s="1" t="s">
        <v>45</v>
      </c>
      <c r="F251" s="17"/>
      <c r="G251" s="111">
        <f>G252+G254+G256+G258+G260</f>
        <v>2184400</v>
      </c>
      <c r="H251" s="111">
        <f>H252+H254+H256+H258+H260</f>
        <v>0</v>
      </c>
      <c r="I251" s="107">
        <f t="shared" si="31"/>
        <v>2184400</v>
      </c>
      <c r="J251" s="137"/>
    </row>
    <row r="252" spans="1:10" ht="38.25">
      <c r="A252" s="15" t="s">
        <v>100</v>
      </c>
      <c r="B252" s="1" t="s">
        <v>300</v>
      </c>
      <c r="C252" s="1" t="s">
        <v>59</v>
      </c>
      <c r="D252" s="1" t="s">
        <v>54</v>
      </c>
      <c r="E252" s="1" t="s">
        <v>48</v>
      </c>
      <c r="F252" s="17"/>
      <c r="G252" s="111">
        <f>SUM(G253)</f>
        <v>1234400</v>
      </c>
      <c r="H252" s="111">
        <f>SUM(H253)</f>
        <v>0</v>
      </c>
      <c r="I252" s="107">
        <f t="shared" si="31"/>
        <v>1234400</v>
      </c>
      <c r="J252" s="137"/>
    </row>
    <row r="253" spans="1:10" ht="12.75" customHeight="1">
      <c r="A253" s="15" t="s">
        <v>134</v>
      </c>
      <c r="B253" s="1" t="s">
        <v>300</v>
      </c>
      <c r="C253" s="1" t="s">
        <v>59</v>
      </c>
      <c r="D253" s="1" t="s">
        <v>54</v>
      </c>
      <c r="E253" s="1" t="s">
        <v>48</v>
      </c>
      <c r="F253" s="17" t="s">
        <v>133</v>
      </c>
      <c r="G253" s="111">
        <v>1234400</v>
      </c>
      <c r="H253" s="111"/>
      <c r="I253" s="107">
        <f t="shared" si="31"/>
        <v>1234400</v>
      </c>
      <c r="J253" s="137"/>
    </row>
    <row r="254" spans="1:10" ht="25.5">
      <c r="A254" s="2" t="s">
        <v>291</v>
      </c>
      <c r="B254" s="1" t="s">
        <v>300</v>
      </c>
      <c r="C254" s="1" t="s">
        <v>59</v>
      </c>
      <c r="D254" s="1" t="s">
        <v>54</v>
      </c>
      <c r="E254" s="1" t="s">
        <v>49</v>
      </c>
      <c r="F254" s="17"/>
      <c r="G254" s="111">
        <f>G255</f>
        <v>900000</v>
      </c>
      <c r="H254" s="111">
        <f>H255</f>
        <v>0</v>
      </c>
      <c r="I254" s="107">
        <f t="shared" si="31"/>
        <v>900000</v>
      </c>
      <c r="J254" s="137"/>
    </row>
    <row r="255" spans="1:10" ht="12.75" customHeight="1">
      <c r="A255" s="15" t="s">
        <v>131</v>
      </c>
      <c r="B255" s="1" t="s">
        <v>300</v>
      </c>
      <c r="C255" s="1" t="s">
        <v>59</v>
      </c>
      <c r="D255" s="1" t="s">
        <v>54</v>
      </c>
      <c r="E255" s="1" t="s">
        <v>49</v>
      </c>
      <c r="F255" s="17" t="s">
        <v>132</v>
      </c>
      <c r="G255" s="111">
        <v>900000</v>
      </c>
      <c r="H255" s="111"/>
      <c r="I255" s="107">
        <f t="shared" si="31"/>
        <v>900000</v>
      </c>
      <c r="J255" s="137"/>
    </row>
    <row r="256" spans="1:10" ht="51">
      <c r="A256" s="15" t="s">
        <v>197</v>
      </c>
      <c r="B256" s="1" t="s">
        <v>300</v>
      </c>
      <c r="C256" s="1" t="s">
        <v>59</v>
      </c>
      <c r="D256" s="1" t="s">
        <v>54</v>
      </c>
      <c r="E256" s="1" t="s">
        <v>50</v>
      </c>
      <c r="F256" s="17"/>
      <c r="G256" s="111">
        <f>SUM(G257)</f>
        <v>25000</v>
      </c>
      <c r="H256" s="111">
        <f>SUM(H257)</f>
        <v>0</v>
      </c>
      <c r="I256" s="107">
        <f t="shared" si="31"/>
        <v>25000</v>
      </c>
      <c r="J256" s="137"/>
    </row>
    <row r="257" spans="1:10" ht="12.75" customHeight="1">
      <c r="A257" s="15" t="s">
        <v>134</v>
      </c>
      <c r="B257" s="1" t="s">
        <v>300</v>
      </c>
      <c r="C257" s="1" t="s">
        <v>59</v>
      </c>
      <c r="D257" s="1" t="s">
        <v>54</v>
      </c>
      <c r="E257" s="1" t="s">
        <v>50</v>
      </c>
      <c r="F257" s="17" t="s">
        <v>133</v>
      </c>
      <c r="G257" s="111">
        <v>25000</v>
      </c>
      <c r="H257" s="111"/>
      <c r="I257" s="107">
        <f t="shared" si="31"/>
        <v>25000</v>
      </c>
      <c r="J257" s="137"/>
    </row>
    <row r="258" spans="1:10" ht="25.5">
      <c r="A258" s="15" t="s">
        <v>295</v>
      </c>
      <c r="B258" s="1" t="s">
        <v>300</v>
      </c>
      <c r="C258" s="1" t="s">
        <v>59</v>
      </c>
      <c r="D258" s="1" t="s">
        <v>54</v>
      </c>
      <c r="E258" s="1" t="s">
        <v>296</v>
      </c>
      <c r="F258" s="17"/>
      <c r="G258" s="111">
        <f>+G259</f>
        <v>25000</v>
      </c>
      <c r="H258" s="111">
        <f>+H259</f>
        <v>0</v>
      </c>
      <c r="I258" s="107">
        <f t="shared" si="31"/>
        <v>25000</v>
      </c>
      <c r="J258" s="137"/>
    </row>
    <row r="259" spans="1:10" ht="12.75" customHeight="1">
      <c r="A259" s="15" t="s">
        <v>134</v>
      </c>
      <c r="B259" s="1" t="s">
        <v>300</v>
      </c>
      <c r="C259" s="1" t="s">
        <v>59</v>
      </c>
      <c r="D259" s="1" t="s">
        <v>54</v>
      </c>
      <c r="E259" s="1" t="s">
        <v>296</v>
      </c>
      <c r="F259" s="17" t="s">
        <v>133</v>
      </c>
      <c r="G259" s="111">
        <v>25000</v>
      </c>
      <c r="H259" s="111"/>
      <c r="I259" s="107">
        <f t="shared" si="31"/>
        <v>25000</v>
      </c>
      <c r="J259" s="137"/>
    </row>
    <row r="260" spans="1:10" ht="41.25" customHeight="1">
      <c r="A260" s="2" t="s">
        <v>339</v>
      </c>
      <c r="B260" s="1" t="s">
        <v>300</v>
      </c>
      <c r="C260" s="3" t="s">
        <v>59</v>
      </c>
      <c r="D260" s="3" t="s">
        <v>54</v>
      </c>
      <c r="E260" s="3" t="s">
        <v>340</v>
      </c>
      <c r="F260" s="17"/>
      <c r="G260" s="111">
        <f>G261</f>
        <v>0</v>
      </c>
      <c r="H260" s="111">
        <f>H261</f>
        <v>0</v>
      </c>
      <c r="I260" s="107">
        <f t="shared" si="31"/>
        <v>0</v>
      </c>
      <c r="J260" s="137"/>
    </row>
    <row r="261" spans="1:13" ht="12.75" customHeight="1">
      <c r="A261" s="15" t="s">
        <v>134</v>
      </c>
      <c r="B261" s="1" t="s">
        <v>300</v>
      </c>
      <c r="C261" s="3" t="s">
        <v>59</v>
      </c>
      <c r="D261" s="3" t="s">
        <v>54</v>
      </c>
      <c r="E261" s="3" t="s">
        <v>340</v>
      </c>
      <c r="F261" s="17" t="s">
        <v>133</v>
      </c>
      <c r="G261" s="111">
        <v>0</v>
      </c>
      <c r="H261" s="111"/>
      <c r="I261" s="107">
        <f t="shared" si="31"/>
        <v>0</v>
      </c>
      <c r="J261" s="137"/>
      <c r="M261" s="122"/>
    </row>
    <row r="262" spans="1:10" ht="54" customHeight="1">
      <c r="A262" s="119" t="s">
        <v>372</v>
      </c>
      <c r="B262" s="1" t="s">
        <v>300</v>
      </c>
      <c r="C262" s="3" t="s">
        <v>59</v>
      </c>
      <c r="D262" s="3" t="s">
        <v>54</v>
      </c>
      <c r="E262" s="3" t="s">
        <v>371</v>
      </c>
      <c r="F262" s="17"/>
      <c r="G262" s="111">
        <f>G263</f>
        <v>199200</v>
      </c>
      <c r="H262" s="111">
        <f>H263</f>
        <v>0</v>
      </c>
      <c r="I262" s="107">
        <f t="shared" si="31"/>
        <v>199200</v>
      </c>
      <c r="J262" s="137"/>
    </row>
    <row r="263" spans="1:10" ht="42.75" customHeight="1">
      <c r="A263" s="119" t="s">
        <v>373</v>
      </c>
      <c r="B263" s="1" t="s">
        <v>300</v>
      </c>
      <c r="C263" s="3" t="s">
        <v>59</v>
      </c>
      <c r="D263" s="3" t="s">
        <v>54</v>
      </c>
      <c r="E263" s="3" t="s">
        <v>374</v>
      </c>
      <c r="F263" s="17"/>
      <c r="G263" s="111">
        <f>G264</f>
        <v>199200</v>
      </c>
      <c r="H263" s="111">
        <f>H264</f>
        <v>0</v>
      </c>
      <c r="I263" s="107">
        <f t="shared" si="31"/>
        <v>199200</v>
      </c>
      <c r="J263" s="137"/>
    </row>
    <row r="264" spans="1:10" ht="12.75" customHeight="1">
      <c r="A264" s="15" t="s">
        <v>134</v>
      </c>
      <c r="B264" s="1" t="s">
        <v>300</v>
      </c>
      <c r="C264" s="3" t="s">
        <v>59</v>
      </c>
      <c r="D264" s="3" t="s">
        <v>54</v>
      </c>
      <c r="E264" s="3" t="s">
        <v>374</v>
      </c>
      <c r="F264" s="17" t="s">
        <v>133</v>
      </c>
      <c r="G264" s="111">
        <v>199200</v>
      </c>
      <c r="H264" s="111"/>
      <c r="I264" s="107">
        <f>SUM(G264:H264)</f>
        <v>199200</v>
      </c>
      <c r="J264" s="137"/>
    </row>
    <row r="265" spans="1:10" ht="12.75" customHeight="1">
      <c r="A265" s="15"/>
      <c r="B265" s="1"/>
      <c r="C265" s="1"/>
      <c r="D265" s="1"/>
      <c r="E265" s="1"/>
      <c r="F265" s="17"/>
      <c r="G265" s="111"/>
      <c r="H265" s="111"/>
      <c r="I265" s="111"/>
      <c r="J265" s="136"/>
    </row>
    <row r="266" spans="1:10" ht="12.75" customHeight="1">
      <c r="A266" s="5" t="s">
        <v>140</v>
      </c>
      <c r="B266" s="1" t="s">
        <v>300</v>
      </c>
      <c r="C266" s="1" t="s">
        <v>59</v>
      </c>
      <c r="D266" s="1" t="s">
        <v>54</v>
      </c>
      <c r="E266" s="1" t="s">
        <v>141</v>
      </c>
      <c r="F266" s="17"/>
      <c r="G266" s="111">
        <f>G267</f>
        <v>308600</v>
      </c>
      <c r="H266" s="111">
        <f>H267</f>
        <v>0</v>
      </c>
      <c r="I266" s="107">
        <f>SUM(G266:H266)</f>
        <v>308600</v>
      </c>
      <c r="J266" s="137"/>
    </row>
    <row r="267" spans="1:10" ht="39" customHeight="1">
      <c r="A267" s="2" t="s">
        <v>368</v>
      </c>
      <c r="B267" s="1" t="s">
        <v>300</v>
      </c>
      <c r="C267" s="1" t="s">
        <v>59</v>
      </c>
      <c r="D267" s="1" t="s">
        <v>54</v>
      </c>
      <c r="E267" s="1" t="s">
        <v>369</v>
      </c>
      <c r="F267" s="17"/>
      <c r="G267" s="111">
        <f>G268</f>
        <v>308600</v>
      </c>
      <c r="H267" s="111">
        <f>H268</f>
        <v>0</v>
      </c>
      <c r="I267" s="107">
        <f>SUM(G267:H267)</f>
        <v>308600</v>
      </c>
      <c r="J267" s="137"/>
    </row>
    <row r="268" spans="1:10" ht="12.75" customHeight="1">
      <c r="A268" s="15" t="s">
        <v>134</v>
      </c>
      <c r="B268" s="1" t="s">
        <v>300</v>
      </c>
      <c r="C268" s="1" t="s">
        <v>59</v>
      </c>
      <c r="D268" s="1" t="s">
        <v>54</v>
      </c>
      <c r="E268" s="1" t="s">
        <v>369</v>
      </c>
      <c r="F268" s="17" t="s">
        <v>133</v>
      </c>
      <c r="G268" s="111">
        <v>308600</v>
      </c>
      <c r="H268" s="111"/>
      <c r="I268" s="107">
        <f>SUM(G268:H268)</f>
        <v>308600</v>
      </c>
      <c r="J268" s="137"/>
    </row>
    <row r="269" spans="1:10" ht="12.75" customHeight="1">
      <c r="A269" s="15"/>
      <c r="B269" s="1"/>
      <c r="C269" s="1"/>
      <c r="D269" s="1"/>
      <c r="E269" s="1"/>
      <c r="F269" s="17"/>
      <c r="G269" s="111"/>
      <c r="H269" s="111"/>
      <c r="I269" s="111"/>
      <c r="J269" s="136"/>
    </row>
    <row r="270" spans="1:10" ht="38.25">
      <c r="A270" s="23" t="s">
        <v>97</v>
      </c>
      <c r="B270" s="18" t="s">
        <v>300</v>
      </c>
      <c r="C270" s="18" t="s">
        <v>59</v>
      </c>
      <c r="D270" s="18" t="s">
        <v>17</v>
      </c>
      <c r="E270" s="1"/>
      <c r="F270" s="17"/>
      <c r="G270" s="109">
        <f>G271+G275</f>
        <v>12373720</v>
      </c>
      <c r="H270" s="109">
        <f>H271+H275</f>
        <v>304</v>
      </c>
      <c r="I270" s="109">
        <f>SUM(G270:H270)</f>
        <v>12374024</v>
      </c>
      <c r="J270" s="134"/>
    </row>
    <row r="271" spans="1:10" ht="38.25">
      <c r="A271" s="7" t="s">
        <v>91</v>
      </c>
      <c r="B271" s="1" t="s">
        <v>300</v>
      </c>
      <c r="C271" s="1" t="s">
        <v>59</v>
      </c>
      <c r="D271" s="1" t="s">
        <v>17</v>
      </c>
      <c r="E271" s="1" t="s">
        <v>92</v>
      </c>
      <c r="F271" s="17"/>
      <c r="G271" s="111">
        <f>G272</f>
        <v>9016120</v>
      </c>
      <c r="H271" s="111">
        <f>H272</f>
        <v>304</v>
      </c>
      <c r="I271" s="107">
        <f aca="true" t="shared" si="32" ref="I271:I286">SUM(G271:H271)</f>
        <v>9016424</v>
      </c>
      <c r="J271" s="137"/>
    </row>
    <row r="272" spans="1:10" ht="12.75">
      <c r="A272" s="2" t="s">
        <v>94</v>
      </c>
      <c r="B272" s="1" t="s">
        <v>300</v>
      </c>
      <c r="C272" s="1" t="s">
        <v>59</v>
      </c>
      <c r="D272" s="1" t="s">
        <v>17</v>
      </c>
      <c r="E272" s="1" t="s">
        <v>95</v>
      </c>
      <c r="F272" s="17"/>
      <c r="G272" s="111">
        <f>SUM(G273:G274)</f>
        <v>9016120</v>
      </c>
      <c r="H272" s="111">
        <f>SUM(H273:H274)</f>
        <v>304</v>
      </c>
      <c r="I272" s="107">
        <f t="shared" si="32"/>
        <v>9016424</v>
      </c>
      <c r="J272" s="137"/>
    </row>
    <row r="273" spans="1:10" ht="12.75" customHeight="1">
      <c r="A273" s="15" t="s">
        <v>134</v>
      </c>
      <c r="B273" s="1" t="s">
        <v>300</v>
      </c>
      <c r="C273" s="1" t="s">
        <v>59</v>
      </c>
      <c r="D273" s="1" t="s">
        <v>17</v>
      </c>
      <c r="E273" s="1" t="s">
        <v>95</v>
      </c>
      <c r="F273" s="17" t="s">
        <v>133</v>
      </c>
      <c r="G273" s="111">
        <f>10043714-1628400-430000</f>
        <v>7985314</v>
      </c>
      <c r="H273" s="111">
        <v>304</v>
      </c>
      <c r="I273" s="107">
        <f t="shared" si="32"/>
        <v>7985618</v>
      </c>
      <c r="J273" s="137"/>
    </row>
    <row r="274" spans="1:10" ht="27.75" customHeight="1">
      <c r="A274" s="15" t="s">
        <v>313</v>
      </c>
      <c r="B274" s="1" t="s">
        <v>300</v>
      </c>
      <c r="C274" s="1" t="s">
        <v>59</v>
      </c>
      <c r="D274" s="1" t="s">
        <v>17</v>
      </c>
      <c r="E274" s="1" t="s">
        <v>95</v>
      </c>
      <c r="F274" s="17" t="s">
        <v>314</v>
      </c>
      <c r="G274" s="111">
        <f>1680406-649600</f>
        <v>1030806</v>
      </c>
      <c r="H274" s="111"/>
      <c r="I274" s="107">
        <f t="shared" si="32"/>
        <v>1030806</v>
      </c>
      <c r="J274" s="137"/>
    </row>
    <row r="275" spans="1:10" ht="15" customHeight="1">
      <c r="A275" s="15" t="s">
        <v>128</v>
      </c>
      <c r="B275" s="1" t="s">
        <v>300</v>
      </c>
      <c r="C275" s="1" t="s">
        <v>59</v>
      </c>
      <c r="D275" s="1" t="s">
        <v>17</v>
      </c>
      <c r="E275" s="1" t="s">
        <v>42</v>
      </c>
      <c r="F275" s="17"/>
      <c r="G275" s="111">
        <f>G279+G276</f>
        <v>3357600</v>
      </c>
      <c r="H275" s="111">
        <f>H279+H276</f>
        <v>0</v>
      </c>
      <c r="I275" s="107">
        <f t="shared" si="32"/>
        <v>3357600</v>
      </c>
      <c r="J275" s="137"/>
    </row>
    <row r="276" spans="1:10" ht="43.5" customHeight="1">
      <c r="A276" s="7" t="s">
        <v>101</v>
      </c>
      <c r="B276" s="61" t="s">
        <v>300</v>
      </c>
      <c r="C276" s="1" t="s">
        <v>59</v>
      </c>
      <c r="D276" s="1" t="s">
        <v>17</v>
      </c>
      <c r="E276" s="1" t="s">
        <v>43</v>
      </c>
      <c r="F276" s="17"/>
      <c r="G276" s="111">
        <f>G277</f>
        <v>649600</v>
      </c>
      <c r="H276" s="111">
        <f>H277</f>
        <v>0</v>
      </c>
      <c r="I276" s="107">
        <f t="shared" si="32"/>
        <v>649600</v>
      </c>
      <c r="J276" s="137"/>
    </row>
    <row r="277" spans="1:10" ht="29.25" customHeight="1">
      <c r="A277" s="125" t="s">
        <v>408</v>
      </c>
      <c r="B277" s="61" t="s">
        <v>300</v>
      </c>
      <c r="C277" s="1" t="s">
        <v>59</v>
      </c>
      <c r="D277" s="1" t="s">
        <v>17</v>
      </c>
      <c r="E277" s="1" t="s">
        <v>409</v>
      </c>
      <c r="F277" s="17"/>
      <c r="G277" s="111">
        <f>G278</f>
        <v>649600</v>
      </c>
      <c r="H277" s="111">
        <f>H278</f>
        <v>0</v>
      </c>
      <c r="I277" s="107">
        <f t="shared" si="32"/>
        <v>649600</v>
      </c>
      <c r="J277" s="137"/>
    </row>
    <row r="278" spans="1:12" ht="17.25" customHeight="1">
      <c r="A278" s="125" t="s">
        <v>410</v>
      </c>
      <c r="B278" s="61" t="s">
        <v>300</v>
      </c>
      <c r="C278" s="1" t="s">
        <v>59</v>
      </c>
      <c r="D278" s="1" t="s">
        <v>17</v>
      </c>
      <c r="E278" s="1" t="s">
        <v>409</v>
      </c>
      <c r="F278" s="17" t="s">
        <v>405</v>
      </c>
      <c r="G278" s="111">
        <v>649600</v>
      </c>
      <c r="H278" s="111"/>
      <c r="I278" s="107">
        <f t="shared" si="32"/>
        <v>649600</v>
      </c>
      <c r="J278" s="137"/>
      <c r="L278" s="122"/>
    </row>
    <row r="279" spans="1:10" ht="51.75" customHeight="1">
      <c r="A279" s="119" t="s">
        <v>372</v>
      </c>
      <c r="B279" s="1" t="s">
        <v>300</v>
      </c>
      <c r="C279" s="3" t="s">
        <v>59</v>
      </c>
      <c r="D279" s="3" t="s">
        <v>17</v>
      </c>
      <c r="E279" s="3" t="s">
        <v>371</v>
      </c>
      <c r="F279" s="17"/>
      <c r="G279" s="111">
        <f>SUM(G280+G282+G284)</f>
        <v>2708000</v>
      </c>
      <c r="H279" s="111">
        <f>SUM(H280+H282+H284)</f>
        <v>0</v>
      </c>
      <c r="I279" s="107">
        <f t="shared" si="32"/>
        <v>2708000</v>
      </c>
      <c r="J279" s="137"/>
    </row>
    <row r="280" spans="1:10" ht="41.25" customHeight="1">
      <c r="A280" s="119" t="s">
        <v>375</v>
      </c>
      <c r="B280" s="1" t="s">
        <v>300</v>
      </c>
      <c r="C280" s="3" t="s">
        <v>59</v>
      </c>
      <c r="D280" s="3" t="s">
        <v>17</v>
      </c>
      <c r="E280" s="1" t="s">
        <v>377</v>
      </c>
      <c r="F280" s="17"/>
      <c r="G280" s="111">
        <f>G281</f>
        <v>1628400</v>
      </c>
      <c r="H280" s="111">
        <f>H281</f>
        <v>0</v>
      </c>
      <c r="I280" s="107">
        <f t="shared" si="32"/>
        <v>1628400</v>
      </c>
      <c r="J280" s="137"/>
    </row>
    <row r="281" spans="1:10" ht="17.25" customHeight="1">
      <c r="A281" s="15" t="s">
        <v>134</v>
      </c>
      <c r="B281" s="1" t="s">
        <v>300</v>
      </c>
      <c r="C281" s="3" t="s">
        <v>59</v>
      </c>
      <c r="D281" s="3" t="s">
        <v>17</v>
      </c>
      <c r="E281" s="1" t="s">
        <v>377</v>
      </c>
      <c r="F281" s="17" t="s">
        <v>133</v>
      </c>
      <c r="G281" s="111">
        <v>1628400</v>
      </c>
      <c r="H281" s="111"/>
      <c r="I281" s="107">
        <f t="shared" si="32"/>
        <v>1628400</v>
      </c>
      <c r="J281" s="137"/>
    </row>
    <row r="282" spans="1:10" ht="55.5" customHeight="1">
      <c r="A282" s="119" t="s">
        <v>380</v>
      </c>
      <c r="B282" s="1" t="s">
        <v>300</v>
      </c>
      <c r="C282" s="3" t="s">
        <v>59</v>
      </c>
      <c r="D282" s="3" t="s">
        <v>17</v>
      </c>
      <c r="E282" s="1" t="s">
        <v>378</v>
      </c>
      <c r="F282" s="17"/>
      <c r="G282" s="111">
        <f>G283</f>
        <v>430000</v>
      </c>
      <c r="H282" s="111">
        <f>H283</f>
        <v>0</v>
      </c>
      <c r="I282" s="107">
        <f t="shared" si="32"/>
        <v>430000</v>
      </c>
      <c r="J282" s="137"/>
    </row>
    <row r="283" spans="1:10" ht="12.75" customHeight="1">
      <c r="A283" s="15" t="s">
        <v>134</v>
      </c>
      <c r="B283" s="1" t="s">
        <v>300</v>
      </c>
      <c r="C283" s="3" t="s">
        <v>59</v>
      </c>
      <c r="D283" s="3" t="s">
        <v>17</v>
      </c>
      <c r="E283" s="1" t="s">
        <v>378</v>
      </c>
      <c r="F283" s="17" t="s">
        <v>133</v>
      </c>
      <c r="G283" s="111">
        <v>430000</v>
      </c>
      <c r="H283" s="111"/>
      <c r="I283" s="107">
        <f t="shared" si="32"/>
        <v>430000</v>
      </c>
      <c r="J283" s="137"/>
    </row>
    <row r="284" spans="1:10" ht="39.75" customHeight="1">
      <c r="A284" s="119" t="s">
        <v>376</v>
      </c>
      <c r="B284" s="1" t="s">
        <v>300</v>
      </c>
      <c r="C284" s="3" t="s">
        <v>59</v>
      </c>
      <c r="D284" s="3" t="s">
        <v>17</v>
      </c>
      <c r="E284" s="1" t="s">
        <v>379</v>
      </c>
      <c r="F284" s="17"/>
      <c r="G284" s="111">
        <f>G285</f>
        <v>649600</v>
      </c>
      <c r="H284" s="111">
        <f>H285</f>
        <v>0</v>
      </c>
      <c r="I284" s="107">
        <f t="shared" si="32"/>
        <v>649600</v>
      </c>
      <c r="J284" s="137"/>
    </row>
    <row r="285" spans="1:10" ht="12.75" customHeight="1">
      <c r="A285" s="15" t="s">
        <v>134</v>
      </c>
      <c r="B285" s="1" t="s">
        <v>300</v>
      </c>
      <c r="C285" s="3" t="s">
        <v>59</v>
      </c>
      <c r="D285" s="3" t="s">
        <v>17</v>
      </c>
      <c r="E285" s="1" t="s">
        <v>379</v>
      </c>
      <c r="F285" s="17"/>
      <c r="G285" s="111">
        <v>649600</v>
      </c>
      <c r="H285" s="111">
        <f>H286</f>
        <v>0</v>
      </c>
      <c r="I285" s="107">
        <f t="shared" si="32"/>
        <v>649600</v>
      </c>
      <c r="J285" s="137"/>
    </row>
    <row r="286" spans="1:10" ht="12.75" customHeight="1">
      <c r="A286" s="15" t="s">
        <v>313</v>
      </c>
      <c r="B286" s="1" t="s">
        <v>300</v>
      </c>
      <c r="C286" s="3" t="s">
        <v>59</v>
      </c>
      <c r="D286" s="3" t="s">
        <v>17</v>
      </c>
      <c r="E286" s="1" t="s">
        <v>379</v>
      </c>
      <c r="F286" s="17" t="s">
        <v>314</v>
      </c>
      <c r="G286" s="111">
        <v>649600</v>
      </c>
      <c r="H286" s="111"/>
      <c r="I286" s="107">
        <f t="shared" si="32"/>
        <v>649600</v>
      </c>
      <c r="J286" s="137"/>
    </row>
    <row r="287" spans="1:10" ht="12.75" customHeight="1">
      <c r="A287" s="15"/>
      <c r="B287" s="1"/>
      <c r="C287" s="1"/>
      <c r="D287" s="1"/>
      <c r="E287" s="1"/>
      <c r="F287" s="17"/>
      <c r="G287" s="111"/>
      <c r="H287" s="111"/>
      <c r="I287" s="111"/>
      <c r="J287" s="136"/>
    </row>
    <row r="288" spans="1:10" ht="12.75" customHeight="1">
      <c r="A288" s="6" t="s">
        <v>327</v>
      </c>
      <c r="B288" s="18" t="s">
        <v>300</v>
      </c>
      <c r="C288" s="18" t="s">
        <v>59</v>
      </c>
      <c r="D288" s="18" t="s">
        <v>16</v>
      </c>
      <c r="E288" s="1"/>
      <c r="F288" s="17"/>
      <c r="G288" s="109">
        <f aca="true" t="shared" si="33" ref="G288:H290">G289</f>
        <v>1000000</v>
      </c>
      <c r="H288" s="109">
        <f t="shared" si="33"/>
        <v>-300000</v>
      </c>
      <c r="I288" s="109">
        <f>SUM(G288:H288)</f>
        <v>700000</v>
      </c>
      <c r="J288" s="134"/>
    </row>
    <row r="289" spans="1:10" ht="12.75" customHeight="1">
      <c r="A289" s="118" t="s">
        <v>328</v>
      </c>
      <c r="B289" s="1" t="s">
        <v>300</v>
      </c>
      <c r="C289" s="1" t="s">
        <v>59</v>
      </c>
      <c r="D289" s="1" t="s">
        <v>16</v>
      </c>
      <c r="E289" s="1" t="s">
        <v>329</v>
      </c>
      <c r="F289" s="17"/>
      <c r="G289" s="111">
        <f t="shared" si="33"/>
        <v>1000000</v>
      </c>
      <c r="H289" s="111">
        <f t="shared" si="33"/>
        <v>-300000</v>
      </c>
      <c r="I289" s="107">
        <f>SUM(G289:H289)</f>
        <v>700000</v>
      </c>
      <c r="J289" s="137"/>
    </row>
    <row r="290" spans="1:10" ht="25.5" customHeight="1">
      <c r="A290" s="15" t="s">
        <v>330</v>
      </c>
      <c r="B290" s="1" t="s">
        <v>300</v>
      </c>
      <c r="C290" s="1" t="s">
        <v>59</v>
      </c>
      <c r="D290" s="1" t="s">
        <v>16</v>
      </c>
      <c r="E290" s="1" t="s">
        <v>331</v>
      </c>
      <c r="F290" s="17"/>
      <c r="G290" s="111">
        <f t="shared" si="33"/>
        <v>1000000</v>
      </c>
      <c r="H290" s="111">
        <f>SUM(H291:H292)</f>
        <v>-300000</v>
      </c>
      <c r="I290" s="107">
        <f>SUM(G290:H290)</f>
        <v>700000</v>
      </c>
      <c r="J290" s="137"/>
    </row>
    <row r="291" spans="1:10" ht="12.75" customHeight="1">
      <c r="A291" s="15" t="s">
        <v>66</v>
      </c>
      <c r="B291" s="1" t="s">
        <v>300</v>
      </c>
      <c r="C291" s="1" t="s">
        <v>59</v>
      </c>
      <c r="D291" s="1" t="s">
        <v>16</v>
      </c>
      <c r="E291" s="1" t="s">
        <v>331</v>
      </c>
      <c r="F291" s="17" t="s">
        <v>36</v>
      </c>
      <c r="G291" s="111">
        <v>1000000</v>
      </c>
      <c r="H291" s="111">
        <v>-1000000</v>
      </c>
      <c r="I291" s="107">
        <f>SUM(G291:H291)</f>
        <v>0</v>
      </c>
      <c r="J291" s="137"/>
    </row>
    <row r="292" spans="1:12" ht="12.75" customHeight="1">
      <c r="A292" s="15" t="s">
        <v>134</v>
      </c>
      <c r="B292" s="1" t="s">
        <v>300</v>
      </c>
      <c r="C292" s="1" t="s">
        <v>59</v>
      </c>
      <c r="D292" s="1" t="s">
        <v>16</v>
      </c>
      <c r="E292" s="1" t="s">
        <v>331</v>
      </c>
      <c r="F292" s="17" t="s">
        <v>133</v>
      </c>
      <c r="G292" s="111"/>
      <c r="H292" s="111">
        <v>700000</v>
      </c>
      <c r="I292" s="107">
        <f>SUM(G292:H292)</f>
        <v>700000</v>
      </c>
      <c r="J292" s="137"/>
      <c r="L292">
        <v>300000</v>
      </c>
    </row>
    <row r="293" spans="1:10" ht="12.75" customHeight="1">
      <c r="A293" s="15"/>
      <c r="B293" s="1"/>
      <c r="C293" s="1"/>
      <c r="D293" s="1"/>
      <c r="E293" s="1"/>
      <c r="F293" s="17"/>
      <c r="G293" s="111"/>
      <c r="H293" s="111"/>
      <c r="I293" s="111"/>
      <c r="J293" s="136"/>
    </row>
    <row r="294" spans="1:10" ht="12.75">
      <c r="A294" s="4" t="s">
        <v>72</v>
      </c>
      <c r="B294" s="18" t="s">
        <v>300</v>
      </c>
      <c r="C294" s="18" t="s">
        <v>59</v>
      </c>
      <c r="D294" s="18" t="s">
        <v>58</v>
      </c>
      <c r="E294" s="1"/>
      <c r="F294" s="17"/>
      <c r="G294" s="109">
        <f aca="true" t="shared" si="34" ref="G294:H296">G295</f>
        <v>200000</v>
      </c>
      <c r="H294" s="109">
        <f t="shared" si="34"/>
        <v>-100000</v>
      </c>
      <c r="I294" s="109">
        <f>SUM(G294:H294)</f>
        <v>100000</v>
      </c>
      <c r="J294" s="134"/>
    </row>
    <row r="295" spans="1:10" ht="12.75">
      <c r="A295" s="2" t="s">
        <v>72</v>
      </c>
      <c r="B295" s="1" t="s">
        <v>300</v>
      </c>
      <c r="C295" s="1" t="s">
        <v>59</v>
      </c>
      <c r="D295" s="1" t="s">
        <v>58</v>
      </c>
      <c r="E295" s="1" t="s">
        <v>73</v>
      </c>
      <c r="F295" s="17"/>
      <c r="G295" s="111">
        <f t="shared" si="34"/>
        <v>200000</v>
      </c>
      <c r="H295" s="111">
        <f t="shared" si="34"/>
        <v>-100000</v>
      </c>
      <c r="I295" s="107">
        <f>SUM(G295:H295)</f>
        <v>100000</v>
      </c>
      <c r="J295" s="137"/>
    </row>
    <row r="296" spans="1:10" ht="25.5">
      <c r="A296" s="5" t="s">
        <v>4</v>
      </c>
      <c r="B296" s="1" t="s">
        <v>300</v>
      </c>
      <c r="C296" s="1" t="s">
        <v>59</v>
      </c>
      <c r="D296" s="1" t="s">
        <v>58</v>
      </c>
      <c r="E296" s="1" t="s">
        <v>5</v>
      </c>
      <c r="F296" s="17"/>
      <c r="G296" s="111">
        <f t="shared" si="34"/>
        <v>200000</v>
      </c>
      <c r="H296" s="111">
        <f t="shared" si="34"/>
        <v>-100000</v>
      </c>
      <c r="I296" s="107">
        <f>SUM(G296:H296)</f>
        <v>100000</v>
      </c>
      <c r="J296" s="137"/>
    </row>
    <row r="297" spans="1:12" ht="12.75">
      <c r="A297" s="2" t="s">
        <v>66</v>
      </c>
      <c r="B297" s="1" t="s">
        <v>300</v>
      </c>
      <c r="C297" s="1" t="s">
        <v>59</v>
      </c>
      <c r="D297" s="1" t="s">
        <v>58</v>
      </c>
      <c r="E297" s="1" t="s">
        <v>5</v>
      </c>
      <c r="F297" s="17" t="s">
        <v>36</v>
      </c>
      <c r="G297" s="111">
        <v>200000</v>
      </c>
      <c r="H297" s="111">
        <v>-100000</v>
      </c>
      <c r="I297" s="107">
        <f>SUM(G297:H297)</f>
        <v>100000</v>
      </c>
      <c r="J297" s="137"/>
      <c r="L297">
        <v>100000</v>
      </c>
    </row>
    <row r="298" spans="1:10" ht="12.75">
      <c r="A298" s="2"/>
      <c r="B298" s="1"/>
      <c r="C298" s="1"/>
      <c r="D298" s="1"/>
      <c r="E298" s="1"/>
      <c r="F298" s="17"/>
      <c r="G298" s="111"/>
      <c r="H298" s="111"/>
      <c r="I298" s="111"/>
      <c r="J298" s="136"/>
    </row>
    <row r="299" spans="1:10" ht="12.75">
      <c r="A299" s="4" t="s">
        <v>12</v>
      </c>
      <c r="B299" s="18" t="s">
        <v>300</v>
      </c>
      <c r="C299" s="18" t="s">
        <v>59</v>
      </c>
      <c r="D299" s="18" t="s">
        <v>188</v>
      </c>
      <c r="E299" s="1"/>
      <c r="F299" s="17"/>
      <c r="G299" s="109">
        <f>SUM(G300+G306+G313+G309+G319)</f>
        <v>16686394.95</v>
      </c>
      <c r="H299" s="109">
        <f>SUM(H300+H306+H313+H309+H319)</f>
        <v>-467412.78</v>
      </c>
      <c r="I299" s="109">
        <f>SUM(G299:H299)</f>
        <v>16218982.17</v>
      </c>
      <c r="J299" s="134"/>
    </row>
    <row r="300" spans="1:10" ht="25.5">
      <c r="A300" s="2" t="s">
        <v>138</v>
      </c>
      <c r="B300" s="1" t="s">
        <v>300</v>
      </c>
      <c r="C300" s="1" t="s">
        <v>59</v>
      </c>
      <c r="D300" s="1" t="s">
        <v>188</v>
      </c>
      <c r="E300" s="1" t="s">
        <v>139</v>
      </c>
      <c r="F300" s="17"/>
      <c r="G300" s="111">
        <f>G304+G301</f>
        <v>1121747.95</v>
      </c>
      <c r="H300" s="111">
        <f>H304+H301</f>
        <v>0</v>
      </c>
      <c r="I300" s="107">
        <f aca="true" t="shared" si="35" ref="I300:I322">SUM(G300:H300)</f>
        <v>1121747.95</v>
      </c>
      <c r="J300" s="137"/>
    </row>
    <row r="301" spans="1:10" ht="12.75">
      <c r="A301" s="2" t="s">
        <v>269</v>
      </c>
      <c r="B301" s="1" t="s">
        <v>300</v>
      </c>
      <c r="C301" s="1" t="s">
        <v>59</v>
      </c>
      <c r="D301" s="1" t="s">
        <v>188</v>
      </c>
      <c r="E301" s="1" t="s">
        <v>270</v>
      </c>
      <c r="F301" s="17"/>
      <c r="G301" s="111">
        <f>+G302</f>
        <v>121687.95</v>
      </c>
      <c r="H301" s="111">
        <f>+H302</f>
        <v>0</v>
      </c>
      <c r="I301" s="107">
        <f t="shared" si="35"/>
        <v>121687.95</v>
      </c>
      <c r="J301" s="137"/>
    </row>
    <row r="302" spans="1:10" ht="12.75" customHeight="1">
      <c r="A302" s="2" t="s">
        <v>272</v>
      </c>
      <c r="B302" s="1" t="s">
        <v>300</v>
      </c>
      <c r="C302" s="1" t="s">
        <v>59</v>
      </c>
      <c r="D302" s="1" t="s">
        <v>188</v>
      </c>
      <c r="E302" s="1" t="s">
        <v>271</v>
      </c>
      <c r="F302" s="17"/>
      <c r="G302" s="111">
        <f>G303</f>
        <v>121687.95</v>
      </c>
      <c r="H302" s="111">
        <f>H303</f>
        <v>0</v>
      </c>
      <c r="I302" s="107">
        <f t="shared" si="35"/>
        <v>121687.95</v>
      </c>
      <c r="J302" s="137"/>
    </row>
    <row r="303" spans="1:10" ht="12.75">
      <c r="A303" s="15" t="s">
        <v>134</v>
      </c>
      <c r="B303" s="1" t="s">
        <v>300</v>
      </c>
      <c r="C303" s="1" t="s">
        <v>59</v>
      </c>
      <c r="D303" s="1" t="s">
        <v>188</v>
      </c>
      <c r="E303" s="1" t="s">
        <v>271</v>
      </c>
      <c r="F303" s="17" t="s">
        <v>133</v>
      </c>
      <c r="G303" s="111">
        <v>121687.95</v>
      </c>
      <c r="H303" s="111"/>
      <c r="I303" s="107">
        <f t="shared" si="35"/>
        <v>121687.95</v>
      </c>
      <c r="J303" s="137"/>
    </row>
    <row r="304" spans="1:10" ht="12.75" customHeight="1">
      <c r="A304" s="2" t="s">
        <v>245</v>
      </c>
      <c r="B304" s="1" t="s">
        <v>300</v>
      </c>
      <c r="C304" s="1" t="s">
        <v>59</v>
      </c>
      <c r="D304" s="1" t="s">
        <v>188</v>
      </c>
      <c r="E304" s="1" t="s">
        <v>246</v>
      </c>
      <c r="F304" s="17"/>
      <c r="G304" s="111">
        <f>+G305</f>
        <v>1000060</v>
      </c>
      <c r="H304" s="111">
        <f>+H305</f>
        <v>0</v>
      </c>
      <c r="I304" s="107">
        <f t="shared" si="35"/>
        <v>1000060</v>
      </c>
      <c r="J304" s="137"/>
    </row>
    <row r="305" spans="1:10" ht="12.75" customHeight="1">
      <c r="A305" s="15" t="s">
        <v>134</v>
      </c>
      <c r="B305" s="1" t="s">
        <v>300</v>
      </c>
      <c r="C305" s="1" t="s">
        <v>59</v>
      </c>
      <c r="D305" s="1" t="s">
        <v>188</v>
      </c>
      <c r="E305" s="1" t="s">
        <v>246</v>
      </c>
      <c r="F305" s="17" t="s">
        <v>133</v>
      </c>
      <c r="G305" s="111">
        <v>1000060</v>
      </c>
      <c r="H305" s="111"/>
      <c r="I305" s="107">
        <f t="shared" si="35"/>
        <v>1000060</v>
      </c>
      <c r="J305" s="137"/>
    </row>
    <row r="306" spans="1:10" ht="16.5" customHeight="1">
      <c r="A306" s="2" t="s">
        <v>316</v>
      </c>
      <c r="B306" s="3" t="s">
        <v>300</v>
      </c>
      <c r="C306" s="3" t="s">
        <v>59</v>
      </c>
      <c r="D306" s="3" t="s">
        <v>188</v>
      </c>
      <c r="E306" s="3" t="s">
        <v>317</v>
      </c>
      <c r="F306" s="20"/>
      <c r="G306" s="111">
        <f>G307</f>
        <v>7314747</v>
      </c>
      <c r="H306" s="111">
        <f>H307</f>
        <v>11100</v>
      </c>
      <c r="I306" s="107">
        <f t="shared" si="35"/>
        <v>7325847</v>
      </c>
      <c r="J306" s="137"/>
    </row>
    <row r="307" spans="1:10" ht="15.75" customHeight="1">
      <c r="A307" s="117" t="s">
        <v>68</v>
      </c>
      <c r="B307" s="3" t="s">
        <v>300</v>
      </c>
      <c r="C307" s="3" t="s">
        <v>59</v>
      </c>
      <c r="D307" s="3" t="s">
        <v>188</v>
      </c>
      <c r="E307" s="3" t="s">
        <v>318</v>
      </c>
      <c r="F307" s="20"/>
      <c r="G307" s="111">
        <f>G308</f>
        <v>7314747</v>
      </c>
      <c r="H307" s="111">
        <f>H308</f>
        <v>11100</v>
      </c>
      <c r="I307" s="107">
        <f t="shared" si="35"/>
        <v>7325847</v>
      </c>
      <c r="J307" s="137"/>
    </row>
    <row r="308" spans="1:10" ht="15.75" customHeight="1">
      <c r="A308" s="117" t="s">
        <v>319</v>
      </c>
      <c r="B308" s="3" t="s">
        <v>300</v>
      </c>
      <c r="C308" s="3" t="s">
        <v>59</v>
      </c>
      <c r="D308" s="3" t="s">
        <v>188</v>
      </c>
      <c r="E308" s="3" t="s">
        <v>318</v>
      </c>
      <c r="F308" s="20" t="s">
        <v>320</v>
      </c>
      <c r="G308" s="111">
        <v>7314747</v>
      </c>
      <c r="H308" s="111">
        <v>11100</v>
      </c>
      <c r="I308" s="107">
        <f t="shared" si="35"/>
        <v>7325847</v>
      </c>
      <c r="J308" s="137"/>
    </row>
    <row r="309" spans="1:10" ht="12.75" customHeight="1">
      <c r="A309" s="2" t="s">
        <v>140</v>
      </c>
      <c r="B309" s="14" t="s">
        <v>300</v>
      </c>
      <c r="C309" s="14" t="s">
        <v>59</v>
      </c>
      <c r="D309" s="1" t="s">
        <v>188</v>
      </c>
      <c r="E309" s="1" t="s">
        <v>141</v>
      </c>
      <c r="F309" s="17"/>
      <c r="G309" s="107">
        <f>+G310</f>
        <v>449500</v>
      </c>
      <c r="H309" s="107">
        <f>+H310</f>
        <v>0</v>
      </c>
      <c r="I309" s="107">
        <f t="shared" si="35"/>
        <v>449500</v>
      </c>
      <c r="J309" s="137"/>
    </row>
    <row r="310" spans="1:10" ht="38.25" customHeight="1">
      <c r="A310" s="8" t="s">
        <v>334</v>
      </c>
      <c r="B310" s="14" t="s">
        <v>300</v>
      </c>
      <c r="C310" s="14" t="s">
        <v>59</v>
      </c>
      <c r="D310" s="1" t="s">
        <v>188</v>
      </c>
      <c r="E310" s="1" t="s">
        <v>370</v>
      </c>
      <c r="F310" s="17"/>
      <c r="G310" s="111">
        <f>SUM(G311:G312)</f>
        <v>449500</v>
      </c>
      <c r="H310" s="111">
        <f>SUM(H311:H312)</f>
        <v>0</v>
      </c>
      <c r="I310" s="107">
        <f t="shared" si="35"/>
        <v>449500</v>
      </c>
      <c r="J310" s="137"/>
    </row>
    <row r="311" spans="1:10" ht="12.75" customHeight="1">
      <c r="A311" s="15" t="s">
        <v>134</v>
      </c>
      <c r="B311" s="14" t="s">
        <v>300</v>
      </c>
      <c r="C311" s="14" t="s">
        <v>59</v>
      </c>
      <c r="D311" s="1" t="s">
        <v>188</v>
      </c>
      <c r="E311" s="1" t="s">
        <v>370</v>
      </c>
      <c r="F311" s="17" t="s">
        <v>133</v>
      </c>
      <c r="G311" s="111">
        <v>449500</v>
      </c>
      <c r="H311" s="111"/>
      <c r="I311" s="107">
        <f t="shared" si="35"/>
        <v>449500</v>
      </c>
      <c r="J311" s="137"/>
    </row>
    <row r="312" spans="1:10" ht="12.75" customHeight="1">
      <c r="A312" s="2" t="s">
        <v>129</v>
      </c>
      <c r="B312" s="14" t="s">
        <v>300</v>
      </c>
      <c r="C312" s="14" t="s">
        <v>59</v>
      </c>
      <c r="D312" s="1" t="s">
        <v>188</v>
      </c>
      <c r="E312" s="1" t="s">
        <v>370</v>
      </c>
      <c r="F312" s="17" t="s">
        <v>130</v>
      </c>
      <c r="G312" s="111"/>
      <c r="H312" s="111"/>
      <c r="I312" s="107">
        <f t="shared" si="35"/>
        <v>0</v>
      </c>
      <c r="J312" s="137"/>
    </row>
    <row r="313" spans="1:10" ht="12.75">
      <c r="A313" s="2" t="s">
        <v>128</v>
      </c>
      <c r="B313" s="14" t="s">
        <v>300</v>
      </c>
      <c r="C313" s="14" t="s">
        <v>59</v>
      </c>
      <c r="D313" s="1" t="s">
        <v>188</v>
      </c>
      <c r="E313" s="1" t="s">
        <v>42</v>
      </c>
      <c r="F313" s="17"/>
      <c r="G313" s="107">
        <f>G314+G317</f>
        <v>7650400</v>
      </c>
      <c r="H313" s="107">
        <f>H314+H317</f>
        <v>-478512.78</v>
      </c>
      <c r="I313" s="107">
        <f t="shared" si="35"/>
        <v>7171887.22</v>
      </c>
      <c r="J313" s="137"/>
    </row>
    <row r="314" spans="1:10" ht="39" customHeight="1">
      <c r="A314" s="7" t="s">
        <v>87</v>
      </c>
      <c r="B314" s="1" t="s">
        <v>300</v>
      </c>
      <c r="C314" s="1" t="s">
        <v>59</v>
      </c>
      <c r="D314" s="1" t="s">
        <v>188</v>
      </c>
      <c r="E314" s="1" t="s">
        <v>43</v>
      </c>
      <c r="F314" s="17"/>
      <c r="G314" s="111">
        <f>G315</f>
        <v>700000</v>
      </c>
      <c r="H314" s="111">
        <f>H315</f>
        <v>0</v>
      </c>
      <c r="I314" s="107">
        <f t="shared" si="35"/>
        <v>700000</v>
      </c>
      <c r="J314" s="137"/>
    </row>
    <row r="315" spans="1:10" ht="38.25">
      <c r="A315" s="2" t="s">
        <v>449</v>
      </c>
      <c r="B315" s="1" t="s">
        <v>300</v>
      </c>
      <c r="C315" s="1" t="s">
        <v>59</v>
      </c>
      <c r="D315" s="1" t="s">
        <v>188</v>
      </c>
      <c r="E315" s="1" t="s">
        <v>44</v>
      </c>
      <c r="F315" s="17"/>
      <c r="G315" s="111">
        <f>SUM(G316:G316)</f>
        <v>700000</v>
      </c>
      <c r="H315" s="111">
        <f>SUM(H316:H316)</f>
        <v>0</v>
      </c>
      <c r="I315" s="107">
        <f t="shared" si="35"/>
        <v>700000</v>
      </c>
      <c r="J315" s="137"/>
    </row>
    <row r="316" spans="1:10" ht="12.75">
      <c r="A316" s="2" t="s">
        <v>67</v>
      </c>
      <c r="B316" s="1" t="s">
        <v>300</v>
      </c>
      <c r="C316" s="1" t="s">
        <v>59</v>
      </c>
      <c r="D316" s="1" t="s">
        <v>188</v>
      </c>
      <c r="E316" s="1" t="s">
        <v>44</v>
      </c>
      <c r="F316" s="17" t="s">
        <v>60</v>
      </c>
      <c r="G316" s="111">
        <v>700000</v>
      </c>
      <c r="H316" s="111"/>
      <c r="I316" s="107">
        <f t="shared" si="35"/>
        <v>700000</v>
      </c>
      <c r="J316" s="137"/>
    </row>
    <row r="317" spans="1:10" ht="25.5">
      <c r="A317" s="5" t="s">
        <v>345</v>
      </c>
      <c r="B317" s="3" t="s">
        <v>300</v>
      </c>
      <c r="C317" s="3" t="s">
        <v>59</v>
      </c>
      <c r="D317" s="3" t="s">
        <v>188</v>
      </c>
      <c r="E317" s="3" t="s">
        <v>346</v>
      </c>
      <c r="F317" s="17"/>
      <c r="G317" s="111">
        <f>G318</f>
        <v>6950400</v>
      </c>
      <c r="H317" s="111">
        <f>H318</f>
        <v>-478512.78</v>
      </c>
      <c r="I317" s="107">
        <f t="shared" si="35"/>
        <v>6471887.22</v>
      </c>
      <c r="J317" s="137"/>
    </row>
    <row r="318" spans="1:10" ht="12.75">
      <c r="A318" s="15" t="s">
        <v>134</v>
      </c>
      <c r="B318" s="3" t="s">
        <v>300</v>
      </c>
      <c r="C318" s="3" t="s">
        <v>59</v>
      </c>
      <c r="D318" s="3" t="s">
        <v>188</v>
      </c>
      <c r="E318" s="3" t="s">
        <v>346</v>
      </c>
      <c r="F318" s="17" t="s">
        <v>133</v>
      </c>
      <c r="G318" s="111">
        <v>6950400</v>
      </c>
      <c r="H318" s="111">
        <f>-58522-304-11100-127273-3053-278260.78</f>
        <v>-478512.78</v>
      </c>
      <c r="I318" s="107">
        <f t="shared" si="35"/>
        <v>6471887.22</v>
      </c>
      <c r="J318" s="137"/>
    </row>
    <row r="319" spans="1:10" ht="12.75">
      <c r="A319" s="2" t="s">
        <v>147</v>
      </c>
      <c r="B319" s="1" t="s">
        <v>300</v>
      </c>
      <c r="C319" s="1" t="s">
        <v>59</v>
      </c>
      <c r="D319" s="1" t="s">
        <v>188</v>
      </c>
      <c r="E319" s="1" t="s">
        <v>148</v>
      </c>
      <c r="F319" s="17"/>
      <c r="G319" s="111">
        <f>SUM(G320)</f>
        <v>150000</v>
      </c>
      <c r="H319" s="111">
        <f>SUM(H320)</f>
        <v>0</v>
      </c>
      <c r="I319" s="107">
        <f t="shared" si="35"/>
        <v>150000</v>
      </c>
      <c r="J319" s="137"/>
    </row>
    <row r="320" spans="1:10" ht="38.25">
      <c r="A320" s="15" t="s">
        <v>276</v>
      </c>
      <c r="B320" s="87" t="s">
        <v>300</v>
      </c>
      <c r="C320" s="1" t="s">
        <v>59</v>
      </c>
      <c r="D320" s="1" t="s">
        <v>188</v>
      </c>
      <c r="E320" s="1" t="s">
        <v>275</v>
      </c>
      <c r="F320" s="17"/>
      <c r="G320" s="111">
        <f>SUM(G321:G322)</f>
        <v>150000</v>
      </c>
      <c r="H320" s="111">
        <f>SUM(H321:H322)</f>
        <v>0</v>
      </c>
      <c r="I320" s="107">
        <f t="shared" si="35"/>
        <v>150000</v>
      </c>
      <c r="J320" s="137"/>
    </row>
    <row r="321" spans="1:12" ht="12.75">
      <c r="A321" s="15" t="s">
        <v>134</v>
      </c>
      <c r="B321" s="87" t="s">
        <v>300</v>
      </c>
      <c r="C321" s="1" t="s">
        <v>59</v>
      </c>
      <c r="D321" s="1" t="s">
        <v>188</v>
      </c>
      <c r="E321" s="1" t="s">
        <v>275</v>
      </c>
      <c r="F321" s="17" t="s">
        <v>133</v>
      </c>
      <c r="G321" s="111">
        <v>150000</v>
      </c>
      <c r="H321" s="111">
        <v>-150000</v>
      </c>
      <c r="I321" s="107">
        <f t="shared" si="35"/>
        <v>0</v>
      </c>
      <c r="J321" s="137"/>
      <c r="L321" s="122"/>
    </row>
    <row r="322" spans="1:12" ht="12.75">
      <c r="A322" s="2" t="s">
        <v>129</v>
      </c>
      <c r="B322" s="87" t="s">
        <v>300</v>
      </c>
      <c r="C322" s="1" t="s">
        <v>59</v>
      </c>
      <c r="D322" s="1" t="s">
        <v>188</v>
      </c>
      <c r="E322" s="1" t="s">
        <v>275</v>
      </c>
      <c r="F322" s="17" t="s">
        <v>130</v>
      </c>
      <c r="G322" s="111"/>
      <c r="H322" s="111">
        <v>150000</v>
      </c>
      <c r="I322" s="107">
        <f t="shared" si="35"/>
        <v>150000</v>
      </c>
      <c r="J322" s="137"/>
      <c r="L322" s="122"/>
    </row>
    <row r="323" spans="1:10" ht="12.75" customHeight="1">
      <c r="A323" s="2"/>
      <c r="B323" s="1"/>
      <c r="C323" s="1"/>
      <c r="D323" s="1"/>
      <c r="E323" s="1"/>
      <c r="F323" s="17"/>
      <c r="G323" s="111"/>
      <c r="H323" s="111"/>
      <c r="I323" s="111"/>
      <c r="J323" s="136"/>
    </row>
    <row r="324" spans="1:10" ht="15.75">
      <c r="A324" s="36" t="s">
        <v>207</v>
      </c>
      <c r="B324" s="35" t="s">
        <v>300</v>
      </c>
      <c r="C324" s="35" t="s">
        <v>55</v>
      </c>
      <c r="D324" s="1"/>
      <c r="E324" s="1"/>
      <c r="F324" s="17"/>
      <c r="G324" s="108">
        <f aca="true" t="shared" si="36" ref="G324:H327">+G325</f>
        <v>1224300</v>
      </c>
      <c r="H324" s="108">
        <f t="shared" si="36"/>
        <v>0</v>
      </c>
      <c r="I324" s="108">
        <f>SUM(G324:H324)</f>
        <v>1224300</v>
      </c>
      <c r="J324" s="133"/>
    </row>
    <row r="325" spans="1:10" ht="12.75" customHeight="1">
      <c r="A325" s="6" t="s">
        <v>208</v>
      </c>
      <c r="B325" s="19" t="s">
        <v>300</v>
      </c>
      <c r="C325" s="19" t="s">
        <v>55</v>
      </c>
      <c r="D325" s="19" t="s">
        <v>41</v>
      </c>
      <c r="E325" s="19"/>
      <c r="F325" s="37"/>
      <c r="G325" s="109">
        <f t="shared" si="36"/>
        <v>1224300</v>
      </c>
      <c r="H325" s="109">
        <f t="shared" si="36"/>
        <v>0</v>
      </c>
      <c r="I325" s="109">
        <f>SUM(G325:H325)</f>
        <v>1224300</v>
      </c>
      <c r="J325" s="134"/>
    </row>
    <row r="326" spans="1:10" ht="12.75" customHeight="1">
      <c r="A326" s="2" t="s">
        <v>209</v>
      </c>
      <c r="B326" s="1" t="s">
        <v>300</v>
      </c>
      <c r="C326" s="1" t="s">
        <v>55</v>
      </c>
      <c r="D326" s="1" t="s">
        <v>41</v>
      </c>
      <c r="E326" s="1" t="s">
        <v>170</v>
      </c>
      <c r="F326" s="17"/>
      <c r="G326" s="107">
        <f t="shared" si="36"/>
        <v>1224300</v>
      </c>
      <c r="H326" s="107">
        <f t="shared" si="36"/>
        <v>0</v>
      </c>
      <c r="I326" s="107">
        <f>SUM(G326:H326)</f>
        <v>1224300</v>
      </c>
      <c r="J326" s="137"/>
    </row>
    <row r="327" spans="1:10" ht="25.5">
      <c r="A327" s="5" t="s">
        <v>210</v>
      </c>
      <c r="B327" s="1" t="s">
        <v>300</v>
      </c>
      <c r="C327" s="1" t="s">
        <v>55</v>
      </c>
      <c r="D327" s="1" t="s">
        <v>41</v>
      </c>
      <c r="E327" s="1" t="s">
        <v>171</v>
      </c>
      <c r="F327" s="17"/>
      <c r="G327" s="107">
        <f t="shared" si="36"/>
        <v>1224300</v>
      </c>
      <c r="H327" s="107">
        <f t="shared" si="36"/>
        <v>0</v>
      </c>
      <c r="I327" s="107">
        <f>SUM(G327:H327)</f>
        <v>1224300</v>
      </c>
      <c r="J327" s="137"/>
    </row>
    <row r="328" spans="1:10" ht="12.75" customHeight="1">
      <c r="A328" s="15" t="s">
        <v>131</v>
      </c>
      <c r="B328" s="1" t="s">
        <v>300</v>
      </c>
      <c r="C328" s="1" t="s">
        <v>55</v>
      </c>
      <c r="D328" s="1" t="s">
        <v>41</v>
      </c>
      <c r="E328" s="1" t="s">
        <v>171</v>
      </c>
      <c r="F328" s="17" t="s">
        <v>132</v>
      </c>
      <c r="G328" s="107">
        <v>1224300</v>
      </c>
      <c r="H328" s="107"/>
      <c r="I328" s="107">
        <f>SUM(G328:H328)</f>
        <v>1224300</v>
      </c>
      <c r="J328" s="137"/>
    </row>
    <row r="329" spans="1:10" ht="12.75" customHeight="1">
      <c r="A329" s="15"/>
      <c r="B329" s="1"/>
      <c r="C329" s="1"/>
      <c r="D329" s="1"/>
      <c r="E329" s="1"/>
      <c r="F329" s="17"/>
      <c r="G329" s="111"/>
      <c r="H329" s="111"/>
      <c r="I329" s="111"/>
      <c r="J329" s="136"/>
    </row>
    <row r="330" spans="1:10" ht="31.5">
      <c r="A330" s="36" t="s">
        <v>82</v>
      </c>
      <c r="B330" s="35" t="s">
        <v>300</v>
      </c>
      <c r="C330" s="35" t="s">
        <v>41</v>
      </c>
      <c r="D330" s="1"/>
      <c r="E330" s="1"/>
      <c r="F330" s="17"/>
      <c r="G330" s="108">
        <f>SUM(G331+G336)</f>
        <v>300000</v>
      </c>
      <c r="H330" s="108">
        <f>SUM(H331+H336)</f>
        <v>-150000</v>
      </c>
      <c r="I330" s="108">
        <f>SUM(G330:H330)</f>
        <v>150000</v>
      </c>
      <c r="J330" s="133"/>
    </row>
    <row r="331" spans="1:10" ht="42" customHeight="1">
      <c r="A331" s="23" t="s">
        <v>179</v>
      </c>
      <c r="B331" s="18" t="s">
        <v>300</v>
      </c>
      <c r="C331" s="18" t="s">
        <v>41</v>
      </c>
      <c r="D331" s="18" t="s">
        <v>52</v>
      </c>
      <c r="E331" s="1"/>
      <c r="F331" s="17"/>
      <c r="G331" s="109">
        <f>G332</f>
        <v>100000</v>
      </c>
      <c r="H331" s="109">
        <f>H332</f>
        <v>-50000</v>
      </c>
      <c r="I331" s="109">
        <f>SUM(G331:H331)</f>
        <v>50000</v>
      </c>
      <c r="J331" s="134"/>
    </row>
    <row r="332" spans="1:10" ht="25.5">
      <c r="A332" s="16" t="s">
        <v>119</v>
      </c>
      <c r="B332" s="1" t="s">
        <v>300</v>
      </c>
      <c r="C332" s="1" t="s">
        <v>41</v>
      </c>
      <c r="D332" s="1" t="s">
        <v>52</v>
      </c>
      <c r="E332" s="1" t="s">
        <v>120</v>
      </c>
      <c r="F332" s="17"/>
      <c r="G332" s="111">
        <f>G333</f>
        <v>100000</v>
      </c>
      <c r="H332" s="111">
        <f>H333</f>
        <v>-50000</v>
      </c>
      <c r="I332" s="107">
        <f>SUM(G332:H332)</f>
        <v>50000</v>
      </c>
      <c r="J332" s="137"/>
    </row>
    <row r="333" spans="1:10" ht="38.25">
      <c r="A333" s="16" t="s">
        <v>121</v>
      </c>
      <c r="B333" s="1" t="s">
        <v>300</v>
      </c>
      <c r="C333" s="1" t="s">
        <v>41</v>
      </c>
      <c r="D333" s="1" t="s">
        <v>52</v>
      </c>
      <c r="E333" s="1" t="s">
        <v>122</v>
      </c>
      <c r="F333" s="17"/>
      <c r="G333" s="111">
        <f>SUM(G334)</f>
        <v>100000</v>
      </c>
      <c r="H333" s="111">
        <f>SUM(H334)</f>
        <v>-50000</v>
      </c>
      <c r="I333" s="107">
        <f>SUM(G333:H333)</f>
        <v>50000</v>
      </c>
      <c r="J333" s="137"/>
    </row>
    <row r="334" spans="1:12" ht="12.75" customHeight="1">
      <c r="A334" s="15" t="s">
        <v>134</v>
      </c>
      <c r="B334" s="1" t="s">
        <v>300</v>
      </c>
      <c r="C334" s="1" t="s">
        <v>41</v>
      </c>
      <c r="D334" s="1" t="s">
        <v>52</v>
      </c>
      <c r="E334" s="1" t="s">
        <v>122</v>
      </c>
      <c r="F334" s="17" t="s">
        <v>133</v>
      </c>
      <c r="G334" s="111">
        <v>100000</v>
      </c>
      <c r="H334" s="111">
        <v>-50000</v>
      </c>
      <c r="I334" s="107">
        <f>SUM(G334:H334)</f>
        <v>50000</v>
      </c>
      <c r="J334" s="137"/>
      <c r="L334">
        <v>50000</v>
      </c>
    </row>
    <row r="335" spans="1:10" ht="12.75">
      <c r="A335" s="28"/>
      <c r="B335" s="1"/>
      <c r="C335" s="1"/>
      <c r="D335" s="1"/>
      <c r="E335" s="1"/>
      <c r="F335" s="17"/>
      <c r="G335" s="111"/>
      <c r="H335" s="111"/>
      <c r="I335" s="111"/>
      <c r="J335" s="136"/>
    </row>
    <row r="336" spans="1:10" ht="12.75">
      <c r="A336" s="38" t="s">
        <v>123</v>
      </c>
      <c r="B336" s="18" t="s">
        <v>300</v>
      </c>
      <c r="C336" s="18" t="s">
        <v>41</v>
      </c>
      <c r="D336" s="18" t="s">
        <v>88</v>
      </c>
      <c r="E336" s="1"/>
      <c r="F336" s="17"/>
      <c r="G336" s="109">
        <f>SUM(G337)</f>
        <v>200000</v>
      </c>
      <c r="H336" s="109">
        <f>SUM(H337)</f>
        <v>-100000</v>
      </c>
      <c r="I336" s="109">
        <f>SUM(G336:H336)</f>
        <v>100000</v>
      </c>
      <c r="J336" s="134"/>
    </row>
    <row r="337" spans="1:10" ht="12.75">
      <c r="A337" s="2" t="s">
        <v>147</v>
      </c>
      <c r="B337" s="1" t="s">
        <v>300</v>
      </c>
      <c r="C337" s="1" t="s">
        <v>41</v>
      </c>
      <c r="D337" s="1" t="s">
        <v>88</v>
      </c>
      <c r="E337" s="1" t="s">
        <v>148</v>
      </c>
      <c r="F337" s="17"/>
      <c r="G337" s="107">
        <f>SUM(G338)</f>
        <v>200000</v>
      </c>
      <c r="H337" s="107">
        <f>SUM(H338)</f>
        <v>-100000</v>
      </c>
      <c r="I337" s="107">
        <f>SUM(G337:H337)</f>
        <v>100000</v>
      </c>
      <c r="J337" s="137"/>
    </row>
    <row r="338" spans="1:10" ht="38.25">
      <c r="A338" s="7" t="s">
        <v>301</v>
      </c>
      <c r="B338" s="1" t="s">
        <v>300</v>
      </c>
      <c r="C338" s="1" t="s">
        <v>93</v>
      </c>
      <c r="D338" s="1" t="s">
        <v>88</v>
      </c>
      <c r="E338" s="1" t="s">
        <v>222</v>
      </c>
      <c r="F338" s="17"/>
      <c r="G338" s="107">
        <f>G339</f>
        <v>200000</v>
      </c>
      <c r="H338" s="107">
        <f>H339</f>
        <v>-100000</v>
      </c>
      <c r="I338" s="107">
        <f>SUM(G338:H338)</f>
        <v>100000</v>
      </c>
      <c r="J338" s="137"/>
    </row>
    <row r="339" spans="1:12" ht="12.75" customHeight="1">
      <c r="A339" s="15" t="s">
        <v>134</v>
      </c>
      <c r="B339" s="1" t="s">
        <v>300</v>
      </c>
      <c r="C339" s="1" t="s">
        <v>93</v>
      </c>
      <c r="D339" s="1" t="s">
        <v>88</v>
      </c>
      <c r="E339" s="1" t="s">
        <v>222</v>
      </c>
      <c r="F339" s="17" t="s">
        <v>133</v>
      </c>
      <c r="G339" s="107">
        <v>200000</v>
      </c>
      <c r="H339" s="107">
        <v>-100000</v>
      </c>
      <c r="I339" s="107">
        <f>SUM(G339:H339)</f>
        <v>100000</v>
      </c>
      <c r="J339" s="137"/>
      <c r="L339">
        <v>100000</v>
      </c>
    </row>
    <row r="340" spans="1:10" ht="12.75">
      <c r="A340" s="28"/>
      <c r="B340" s="1"/>
      <c r="C340" s="1"/>
      <c r="D340" s="1"/>
      <c r="E340" s="1"/>
      <c r="F340" s="17"/>
      <c r="G340" s="111"/>
      <c r="H340" s="111"/>
      <c r="I340" s="111"/>
      <c r="J340" s="136"/>
    </row>
    <row r="341" spans="1:10" ht="15.75">
      <c r="A341" s="34" t="s">
        <v>53</v>
      </c>
      <c r="B341" s="39" t="s">
        <v>300</v>
      </c>
      <c r="C341" s="39" t="s">
        <v>54</v>
      </c>
      <c r="D341" s="3"/>
      <c r="E341" s="3"/>
      <c r="F341" s="20"/>
      <c r="G341" s="108">
        <f>SUM(G342+G356+G393+G373)</f>
        <v>17593742.009999998</v>
      </c>
      <c r="H341" s="108">
        <f>SUM(H342+H356+H393+H373)</f>
        <v>5372960.35</v>
      </c>
      <c r="I341" s="108">
        <f>SUM(G341:H341)</f>
        <v>22966702.36</v>
      </c>
      <c r="J341" s="133"/>
    </row>
    <row r="342" spans="1:10" ht="12.75">
      <c r="A342" s="4" t="s">
        <v>126</v>
      </c>
      <c r="B342" s="18" t="s">
        <v>300</v>
      </c>
      <c r="C342" s="18" t="s">
        <v>54</v>
      </c>
      <c r="D342" s="18" t="s">
        <v>57</v>
      </c>
      <c r="E342" s="1"/>
      <c r="F342" s="17"/>
      <c r="G342" s="109">
        <f>SUM(G343)</f>
        <v>523502</v>
      </c>
      <c r="H342" s="109">
        <f>SUM(H343)</f>
        <v>120960.35</v>
      </c>
      <c r="I342" s="109">
        <f>SUM(G342:H342)</f>
        <v>644462.35</v>
      </c>
      <c r="J342" s="134"/>
    </row>
    <row r="343" spans="1:10" ht="12.75">
      <c r="A343" s="7" t="s">
        <v>6</v>
      </c>
      <c r="B343" s="1" t="s">
        <v>300</v>
      </c>
      <c r="C343" s="1" t="s">
        <v>54</v>
      </c>
      <c r="D343" s="1" t="s">
        <v>57</v>
      </c>
      <c r="E343" s="1" t="s">
        <v>7</v>
      </c>
      <c r="F343" s="17"/>
      <c r="G343" s="107">
        <f>G344+G350+G348</f>
        <v>523502</v>
      </c>
      <c r="H343" s="107">
        <f>H344+H350+H348</f>
        <v>120960.35</v>
      </c>
      <c r="I343" s="107">
        <f aca="true" t="shared" si="37" ref="I343:I354">SUM(G343:H343)</f>
        <v>644462.35</v>
      </c>
      <c r="J343" s="137"/>
    </row>
    <row r="344" spans="1:10" ht="12.75" customHeight="1">
      <c r="A344" s="2" t="s">
        <v>8</v>
      </c>
      <c r="B344" s="22" t="s">
        <v>300</v>
      </c>
      <c r="C344" s="22" t="s">
        <v>54</v>
      </c>
      <c r="D344" s="22" t="s">
        <v>57</v>
      </c>
      <c r="E344" s="22" t="s">
        <v>9</v>
      </c>
      <c r="F344" s="29"/>
      <c r="G344" s="111">
        <f>SUM(G345:G347)</f>
        <v>323502</v>
      </c>
      <c r="H344" s="111">
        <f>SUM(H345:H347)</f>
        <v>120710.35</v>
      </c>
      <c r="I344" s="107">
        <f t="shared" si="37"/>
        <v>444212.35</v>
      </c>
      <c r="J344" s="137"/>
    </row>
    <row r="345" spans="1:10" ht="12.75" customHeight="1">
      <c r="A345" s="2" t="s">
        <v>250</v>
      </c>
      <c r="B345" s="1" t="s">
        <v>300</v>
      </c>
      <c r="C345" s="1" t="s">
        <v>54</v>
      </c>
      <c r="D345" s="1" t="s">
        <v>57</v>
      </c>
      <c r="E345" s="22" t="s">
        <v>9</v>
      </c>
      <c r="F345" s="17" t="s">
        <v>249</v>
      </c>
      <c r="G345" s="111">
        <f>83000-35000</f>
        <v>48000</v>
      </c>
      <c r="H345" s="111"/>
      <c r="I345" s="107">
        <f t="shared" si="37"/>
        <v>48000</v>
      </c>
      <c r="J345" s="137"/>
    </row>
    <row r="346" spans="1:10" ht="12.75">
      <c r="A346" s="2" t="s">
        <v>251</v>
      </c>
      <c r="B346" s="1" t="s">
        <v>300</v>
      </c>
      <c r="C346" s="1" t="s">
        <v>54</v>
      </c>
      <c r="D346" s="1" t="s">
        <v>57</v>
      </c>
      <c r="E346" s="22" t="s">
        <v>9</v>
      </c>
      <c r="F346" s="17" t="s">
        <v>252</v>
      </c>
      <c r="G346" s="111">
        <f>50000-20000</f>
        <v>30000</v>
      </c>
      <c r="H346" s="111"/>
      <c r="I346" s="107">
        <f t="shared" si="37"/>
        <v>30000</v>
      </c>
      <c r="J346" s="137"/>
    </row>
    <row r="347" spans="1:11" ht="25.5">
      <c r="A347" s="2" t="s">
        <v>332</v>
      </c>
      <c r="B347" s="1" t="s">
        <v>300</v>
      </c>
      <c r="C347" s="1" t="s">
        <v>54</v>
      </c>
      <c r="D347" s="1" t="s">
        <v>57</v>
      </c>
      <c r="E347" s="22" t="s">
        <v>9</v>
      </c>
      <c r="F347" s="17" t="s">
        <v>333</v>
      </c>
      <c r="G347" s="111">
        <v>245502</v>
      </c>
      <c r="H347" s="111">
        <f>25000+95710.35</f>
        <v>120710.35</v>
      </c>
      <c r="I347" s="107">
        <f t="shared" si="37"/>
        <v>366212.35</v>
      </c>
      <c r="J347" s="137"/>
      <c r="K347">
        <f>25000+95710.35</f>
        <v>120710.35</v>
      </c>
    </row>
    <row r="348" spans="1:10" ht="38.25">
      <c r="A348" s="139" t="s">
        <v>471</v>
      </c>
      <c r="B348" s="1" t="s">
        <v>300</v>
      </c>
      <c r="C348" s="1" t="s">
        <v>54</v>
      </c>
      <c r="D348" s="1" t="s">
        <v>57</v>
      </c>
      <c r="E348" s="22" t="s">
        <v>472</v>
      </c>
      <c r="F348" s="17"/>
      <c r="G348" s="111"/>
      <c r="H348" s="111">
        <f>H349</f>
        <v>200</v>
      </c>
      <c r="I348" s="107">
        <f t="shared" si="37"/>
        <v>200</v>
      </c>
      <c r="J348" s="137"/>
    </row>
    <row r="349" spans="1:10" ht="12.75">
      <c r="A349" s="2" t="s">
        <v>66</v>
      </c>
      <c r="B349" s="1" t="s">
        <v>300</v>
      </c>
      <c r="C349" s="1" t="s">
        <v>54</v>
      </c>
      <c r="D349" s="1" t="s">
        <v>57</v>
      </c>
      <c r="E349" s="22" t="s">
        <v>472</v>
      </c>
      <c r="F349" s="17" t="s">
        <v>36</v>
      </c>
      <c r="G349" s="111"/>
      <c r="H349" s="111">
        <v>200</v>
      </c>
      <c r="I349" s="107">
        <f t="shared" si="37"/>
        <v>200</v>
      </c>
      <c r="J349" s="137"/>
    </row>
    <row r="350" spans="1:10" ht="12.75">
      <c r="A350" s="2" t="s">
        <v>244</v>
      </c>
      <c r="B350" s="1" t="s">
        <v>300</v>
      </c>
      <c r="C350" s="1" t="s">
        <v>54</v>
      </c>
      <c r="D350" s="1" t="s">
        <v>57</v>
      </c>
      <c r="E350" s="22" t="s">
        <v>243</v>
      </c>
      <c r="F350" s="17"/>
      <c r="G350" s="111">
        <f>SUM(G351+G352)</f>
        <v>200000</v>
      </c>
      <c r="H350" s="111">
        <f>SUM(H351+H352)</f>
        <v>50</v>
      </c>
      <c r="I350" s="107">
        <f t="shared" si="37"/>
        <v>200050</v>
      </c>
      <c r="J350" s="137"/>
    </row>
    <row r="351" spans="1:10" ht="12.75">
      <c r="A351" s="2" t="s">
        <v>67</v>
      </c>
      <c r="B351" s="1" t="s">
        <v>300</v>
      </c>
      <c r="C351" s="1" t="s">
        <v>54</v>
      </c>
      <c r="D351" s="1" t="s">
        <v>57</v>
      </c>
      <c r="E351" s="22" t="s">
        <v>243</v>
      </c>
      <c r="F351" s="17" t="s">
        <v>60</v>
      </c>
      <c r="G351" s="111">
        <v>200000</v>
      </c>
      <c r="H351" s="111"/>
      <c r="I351" s="107">
        <f t="shared" si="37"/>
        <v>200000</v>
      </c>
      <c r="J351" s="137"/>
    </row>
    <row r="352" spans="1:10" ht="25.5">
      <c r="A352" s="139" t="s">
        <v>454</v>
      </c>
      <c r="B352" s="1" t="s">
        <v>300</v>
      </c>
      <c r="C352" s="1" t="s">
        <v>54</v>
      </c>
      <c r="D352" s="1" t="s">
        <v>57</v>
      </c>
      <c r="E352" s="22" t="s">
        <v>455</v>
      </c>
      <c r="F352" s="17"/>
      <c r="G352" s="111"/>
      <c r="H352" s="111">
        <f>H353</f>
        <v>50</v>
      </c>
      <c r="I352" s="107">
        <f t="shared" si="37"/>
        <v>50</v>
      </c>
      <c r="J352" s="137"/>
    </row>
    <row r="353" spans="1:10" ht="38.25">
      <c r="A353" s="139" t="s">
        <v>473</v>
      </c>
      <c r="B353" s="1" t="s">
        <v>300</v>
      </c>
      <c r="C353" s="1" t="s">
        <v>54</v>
      </c>
      <c r="D353" s="1" t="s">
        <v>57</v>
      </c>
      <c r="E353" s="22" t="s">
        <v>456</v>
      </c>
      <c r="F353" s="17"/>
      <c r="G353" s="111"/>
      <c r="H353" s="111">
        <f>H354</f>
        <v>50</v>
      </c>
      <c r="I353" s="107">
        <f t="shared" si="37"/>
        <v>50</v>
      </c>
      <c r="J353" s="137"/>
    </row>
    <row r="354" spans="1:10" ht="12.75">
      <c r="A354" s="2" t="s">
        <v>66</v>
      </c>
      <c r="B354" s="1" t="s">
        <v>300</v>
      </c>
      <c r="C354" s="1" t="s">
        <v>54</v>
      </c>
      <c r="D354" s="1" t="s">
        <v>57</v>
      </c>
      <c r="E354" s="22" t="s">
        <v>456</v>
      </c>
      <c r="F354" s="17" t="s">
        <v>36</v>
      </c>
      <c r="G354" s="111"/>
      <c r="H354" s="111">
        <v>50</v>
      </c>
      <c r="I354" s="107">
        <f t="shared" si="37"/>
        <v>50</v>
      </c>
      <c r="J354" s="137"/>
    </row>
    <row r="355" spans="1:10" ht="12.75">
      <c r="A355" s="2"/>
      <c r="B355" s="1"/>
      <c r="C355" s="1"/>
      <c r="D355" s="1"/>
      <c r="E355" s="22"/>
      <c r="F355" s="17"/>
      <c r="G355" s="111"/>
      <c r="H355" s="111"/>
      <c r="I355" s="111"/>
      <c r="J355" s="136"/>
    </row>
    <row r="356" spans="1:10" ht="12.75">
      <c r="A356" s="4" t="s">
        <v>74</v>
      </c>
      <c r="B356" s="18" t="s">
        <v>300</v>
      </c>
      <c r="C356" s="18" t="s">
        <v>54</v>
      </c>
      <c r="D356" s="18" t="s">
        <v>84</v>
      </c>
      <c r="E356" s="1"/>
      <c r="F356" s="17"/>
      <c r="G356" s="109">
        <f>SUM(G357+G360+G363+G368)</f>
        <v>4250000</v>
      </c>
      <c r="H356" s="109">
        <f>SUM(H357+H360+H363+H368)</f>
        <v>5176000</v>
      </c>
      <c r="I356" s="109">
        <f>SUM(G356:H356)</f>
        <v>9426000</v>
      </c>
      <c r="J356" s="134"/>
    </row>
    <row r="357" spans="1:10" ht="12.75">
      <c r="A357" s="2" t="s">
        <v>304</v>
      </c>
      <c r="B357" s="1" t="s">
        <v>300</v>
      </c>
      <c r="C357" s="87" t="s">
        <v>54</v>
      </c>
      <c r="D357" s="87" t="s">
        <v>84</v>
      </c>
      <c r="E357" s="1" t="s">
        <v>305</v>
      </c>
      <c r="F357" s="17"/>
      <c r="G357" s="107">
        <f>G358</f>
        <v>200000</v>
      </c>
      <c r="H357" s="107">
        <f>H358</f>
        <v>0</v>
      </c>
      <c r="I357" s="107">
        <f aca="true" t="shared" si="38" ref="I357:I371">SUM(G357:H357)</f>
        <v>200000</v>
      </c>
      <c r="J357" s="137"/>
    </row>
    <row r="358" spans="1:10" ht="25.5">
      <c r="A358" s="2" t="s">
        <v>306</v>
      </c>
      <c r="B358" s="1" t="s">
        <v>300</v>
      </c>
      <c r="C358" s="87" t="s">
        <v>54</v>
      </c>
      <c r="D358" s="87" t="s">
        <v>84</v>
      </c>
      <c r="E358" s="1" t="s">
        <v>307</v>
      </c>
      <c r="F358" s="17"/>
      <c r="G358" s="107">
        <f>G359</f>
        <v>200000</v>
      </c>
      <c r="H358" s="107">
        <f>H359</f>
        <v>0</v>
      </c>
      <c r="I358" s="107">
        <f t="shared" si="38"/>
        <v>200000</v>
      </c>
      <c r="J358" s="137"/>
    </row>
    <row r="359" spans="1:10" ht="12.75">
      <c r="A359" s="2" t="s">
        <v>67</v>
      </c>
      <c r="B359" s="1" t="s">
        <v>300</v>
      </c>
      <c r="C359" s="87" t="s">
        <v>54</v>
      </c>
      <c r="D359" s="87" t="s">
        <v>84</v>
      </c>
      <c r="E359" s="1" t="s">
        <v>307</v>
      </c>
      <c r="F359" s="17" t="s">
        <v>60</v>
      </c>
      <c r="G359" s="107">
        <v>200000</v>
      </c>
      <c r="H359" s="107"/>
      <c r="I359" s="107">
        <f t="shared" si="38"/>
        <v>200000</v>
      </c>
      <c r="J359" s="137"/>
    </row>
    <row r="360" spans="1:10" ht="12.75">
      <c r="A360" s="2" t="s">
        <v>140</v>
      </c>
      <c r="B360" s="1" t="s">
        <v>300</v>
      </c>
      <c r="C360" s="87" t="s">
        <v>54</v>
      </c>
      <c r="D360" s="87" t="s">
        <v>84</v>
      </c>
      <c r="E360" s="1" t="s">
        <v>141</v>
      </c>
      <c r="F360" s="17"/>
      <c r="G360" s="107"/>
      <c r="H360" s="107">
        <f>H361</f>
        <v>4300000</v>
      </c>
      <c r="I360" s="107">
        <f t="shared" si="38"/>
        <v>4300000</v>
      </c>
      <c r="J360" s="137"/>
    </row>
    <row r="361" spans="1:10" ht="38.25">
      <c r="A361" s="147" t="s">
        <v>463</v>
      </c>
      <c r="B361" s="1" t="s">
        <v>300</v>
      </c>
      <c r="C361" s="87" t="s">
        <v>54</v>
      </c>
      <c r="D361" s="87" t="s">
        <v>84</v>
      </c>
      <c r="E361" s="1" t="s">
        <v>464</v>
      </c>
      <c r="F361" s="17"/>
      <c r="G361" s="107"/>
      <c r="H361" s="107">
        <f>H362</f>
        <v>4300000</v>
      </c>
      <c r="I361" s="107">
        <f t="shared" si="38"/>
        <v>4300000</v>
      </c>
      <c r="J361" s="137"/>
    </row>
    <row r="362" spans="1:10" ht="63.75">
      <c r="A362" s="7" t="s">
        <v>312</v>
      </c>
      <c r="B362" s="1" t="s">
        <v>300</v>
      </c>
      <c r="C362" s="87" t="s">
        <v>54</v>
      </c>
      <c r="D362" s="87" t="s">
        <v>84</v>
      </c>
      <c r="E362" s="1" t="s">
        <v>464</v>
      </c>
      <c r="F362" s="17" t="s">
        <v>264</v>
      </c>
      <c r="G362" s="107"/>
      <c r="H362" s="107">
        <v>4300000</v>
      </c>
      <c r="I362" s="107">
        <f t="shared" si="38"/>
        <v>4300000</v>
      </c>
      <c r="J362" s="137"/>
    </row>
    <row r="363" spans="1:10" ht="12.75">
      <c r="A363" s="15" t="s">
        <v>128</v>
      </c>
      <c r="B363" s="1" t="s">
        <v>300</v>
      </c>
      <c r="C363" s="1" t="s">
        <v>54</v>
      </c>
      <c r="D363" s="1" t="s">
        <v>84</v>
      </c>
      <c r="E363" s="1" t="s">
        <v>42</v>
      </c>
      <c r="F363" s="17"/>
      <c r="G363" s="107"/>
      <c r="H363" s="107">
        <f>H364</f>
        <v>26000</v>
      </c>
      <c r="I363" s="107">
        <f t="shared" si="38"/>
        <v>26000</v>
      </c>
      <c r="J363" s="137"/>
    </row>
    <row r="364" spans="1:10" ht="39" customHeight="1">
      <c r="A364" s="7" t="s">
        <v>101</v>
      </c>
      <c r="B364" s="1" t="s">
        <v>300</v>
      </c>
      <c r="C364" s="1" t="s">
        <v>54</v>
      </c>
      <c r="D364" s="1" t="s">
        <v>84</v>
      </c>
      <c r="E364" s="1" t="s">
        <v>43</v>
      </c>
      <c r="F364" s="17"/>
      <c r="G364" s="107"/>
      <c r="H364" s="107">
        <f>H365</f>
        <v>26000</v>
      </c>
      <c r="I364" s="107">
        <f t="shared" si="38"/>
        <v>26000</v>
      </c>
      <c r="J364" s="137"/>
    </row>
    <row r="365" spans="1:10" ht="12.75">
      <c r="A365" s="2" t="s">
        <v>459</v>
      </c>
      <c r="B365" s="1" t="s">
        <v>300</v>
      </c>
      <c r="C365" s="87" t="s">
        <v>54</v>
      </c>
      <c r="D365" s="87" t="s">
        <v>84</v>
      </c>
      <c r="E365" s="1" t="s">
        <v>460</v>
      </c>
      <c r="F365" s="17"/>
      <c r="G365" s="107"/>
      <c r="H365" s="107">
        <f>H366</f>
        <v>26000</v>
      </c>
      <c r="I365" s="107">
        <f t="shared" si="38"/>
        <v>26000</v>
      </c>
      <c r="J365" s="137"/>
    </row>
    <row r="366" spans="1:11" ht="12.75">
      <c r="A366" s="15" t="s">
        <v>406</v>
      </c>
      <c r="B366" s="1" t="s">
        <v>300</v>
      </c>
      <c r="C366" s="87" t="s">
        <v>54</v>
      </c>
      <c r="D366" s="87" t="s">
        <v>84</v>
      </c>
      <c r="E366" s="1" t="s">
        <v>460</v>
      </c>
      <c r="F366" s="17" t="s">
        <v>405</v>
      </c>
      <c r="G366" s="107"/>
      <c r="H366" s="107">
        <v>26000</v>
      </c>
      <c r="I366" s="107">
        <f t="shared" si="38"/>
        <v>26000</v>
      </c>
      <c r="J366" s="137"/>
      <c r="K366">
        <v>26000</v>
      </c>
    </row>
    <row r="367" spans="1:10" ht="12.75">
      <c r="A367" s="2"/>
      <c r="B367" s="1"/>
      <c r="C367" s="87"/>
      <c r="D367" s="87"/>
      <c r="E367" s="1"/>
      <c r="F367" s="17"/>
      <c r="G367" s="107"/>
      <c r="H367" s="107"/>
      <c r="I367" s="107"/>
      <c r="J367" s="137"/>
    </row>
    <row r="368" spans="1:10" ht="12.75">
      <c r="A368" s="2" t="s">
        <v>147</v>
      </c>
      <c r="B368" s="1" t="s">
        <v>300</v>
      </c>
      <c r="C368" s="1" t="s">
        <v>54</v>
      </c>
      <c r="D368" s="1" t="s">
        <v>84</v>
      </c>
      <c r="E368" s="1" t="s">
        <v>148</v>
      </c>
      <c r="F368" s="17"/>
      <c r="G368" s="111">
        <f>+G369</f>
        <v>4050000</v>
      </c>
      <c r="H368" s="111">
        <f>+H369</f>
        <v>850000</v>
      </c>
      <c r="I368" s="107">
        <f t="shared" si="38"/>
        <v>4900000</v>
      </c>
      <c r="J368" s="137"/>
    </row>
    <row r="369" spans="1:10" ht="25.5" customHeight="1">
      <c r="A369" s="2" t="s">
        <v>278</v>
      </c>
      <c r="B369" s="1" t="s">
        <v>300</v>
      </c>
      <c r="C369" s="1" t="s">
        <v>54</v>
      </c>
      <c r="D369" s="1" t="s">
        <v>84</v>
      </c>
      <c r="E369" s="1" t="s">
        <v>277</v>
      </c>
      <c r="F369" s="17"/>
      <c r="G369" s="111">
        <f>SUM(G370:G371)</f>
        <v>4050000</v>
      </c>
      <c r="H369" s="111">
        <f>SUM(H370:H371)</f>
        <v>850000</v>
      </c>
      <c r="I369" s="107">
        <f t="shared" si="38"/>
        <v>4900000</v>
      </c>
      <c r="J369" s="137"/>
    </row>
    <row r="370" spans="1:11" ht="12.75">
      <c r="A370" s="15" t="s">
        <v>134</v>
      </c>
      <c r="B370" s="1" t="s">
        <v>300</v>
      </c>
      <c r="C370" s="1" t="s">
        <v>54</v>
      </c>
      <c r="D370" s="1" t="s">
        <v>84</v>
      </c>
      <c r="E370" s="1" t="s">
        <v>277</v>
      </c>
      <c r="F370" s="17" t="s">
        <v>133</v>
      </c>
      <c r="G370" s="111">
        <v>50000</v>
      </c>
      <c r="H370" s="111">
        <f>-50000+300000</f>
        <v>250000</v>
      </c>
      <c r="I370" s="107">
        <f t="shared" si="38"/>
        <v>300000</v>
      </c>
      <c r="J370" s="137"/>
      <c r="K370">
        <v>300000</v>
      </c>
    </row>
    <row r="371" spans="1:11" ht="12.75">
      <c r="A371" s="2" t="s">
        <v>142</v>
      </c>
      <c r="B371" s="1" t="s">
        <v>300</v>
      </c>
      <c r="C371" s="1" t="s">
        <v>54</v>
      </c>
      <c r="D371" s="1" t="s">
        <v>84</v>
      </c>
      <c r="E371" s="1" t="s">
        <v>277</v>
      </c>
      <c r="F371" s="17" t="s">
        <v>143</v>
      </c>
      <c r="G371" s="111">
        <v>4000000</v>
      </c>
      <c r="H371" s="111">
        <f>50000+550000</f>
        <v>600000</v>
      </c>
      <c r="I371" s="107">
        <f t="shared" si="38"/>
        <v>4600000</v>
      </c>
      <c r="J371" s="137"/>
      <c r="K371">
        <v>550000</v>
      </c>
    </row>
    <row r="372" spans="1:10" ht="12.75">
      <c r="A372" s="2"/>
      <c r="B372" s="1"/>
      <c r="C372" s="1"/>
      <c r="D372" s="1"/>
      <c r="E372" s="1"/>
      <c r="F372" s="17"/>
      <c r="G372" s="111"/>
      <c r="H372" s="111"/>
      <c r="I372" s="111"/>
      <c r="J372" s="136"/>
    </row>
    <row r="373" spans="1:10" ht="12.75">
      <c r="A373" s="4" t="s">
        <v>257</v>
      </c>
      <c r="B373" s="18" t="s">
        <v>300</v>
      </c>
      <c r="C373" s="18" t="s">
        <v>54</v>
      </c>
      <c r="D373" s="18" t="s">
        <v>52</v>
      </c>
      <c r="E373" s="1"/>
      <c r="F373" s="17"/>
      <c r="G373" s="109">
        <f>SUM(G374+G382)</f>
        <v>10125980</v>
      </c>
      <c r="H373" s="109">
        <f>SUM(H374+H382)</f>
        <v>0</v>
      </c>
      <c r="I373" s="109">
        <f>SUM(G373:H373)</f>
        <v>10125980</v>
      </c>
      <c r="J373" s="134"/>
    </row>
    <row r="374" spans="1:10" ht="12.75">
      <c r="A374" s="2" t="s">
        <v>259</v>
      </c>
      <c r="B374" s="1" t="s">
        <v>300</v>
      </c>
      <c r="C374" s="1" t="s">
        <v>54</v>
      </c>
      <c r="D374" s="1" t="s">
        <v>52</v>
      </c>
      <c r="E374" s="1" t="s">
        <v>258</v>
      </c>
      <c r="F374" s="17"/>
      <c r="G374" s="111">
        <f>SUM(G375+G380)</f>
        <v>308480</v>
      </c>
      <c r="H374" s="111">
        <f>SUM(H375+H380)</f>
        <v>0</v>
      </c>
      <c r="I374" s="107">
        <f aca="true" t="shared" si="39" ref="I374:I391">SUM(G374:H374)</f>
        <v>308480</v>
      </c>
      <c r="J374" s="137"/>
    </row>
    <row r="375" spans="1:10" ht="12.75">
      <c r="A375" s="2" t="s">
        <v>261</v>
      </c>
      <c r="B375" s="1" t="s">
        <v>300</v>
      </c>
      <c r="C375" s="1" t="s">
        <v>54</v>
      </c>
      <c r="D375" s="1" t="s">
        <v>52</v>
      </c>
      <c r="E375" s="1" t="s">
        <v>260</v>
      </c>
      <c r="F375" s="17"/>
      <c r="G375" s="111">
        <f>G376+G378</f>
        <v>150000</v>
      </c>
      <c r="H375" s="111">
        <f>H376+H378</f>
        <v>0</v>
      </c>
      <c r="I375" s="107">
        <f t="shared" si="39"/>
        <v>150000</v>
      </c>
      <c r="J375" s="137"/>
    </row>
    <row r="376" spans="1:10" ht="12.75">
      <c r="A376" s="2" t="s">
        <v>274</v>
      </c>
      <c r="B376" s="1" t="s">
        <v>300</v>
      </c>
      <c r="C376" s="1" t="s">
        <v>54</v>
      </c>
      <c r="D376" s="1" t="s">
        <v>52</v>
      </c>
      <c r="E376" s="1" t="s">
        <v>262</v>
      </c>
      <c r="F376" s="17"/>
      <c r="G376" s="111">
        <f>+G377</f>
        <v>100000</v>
      </c>
      <c r="H376" s="111">
        <f>+H377</f>
        <v>0</v>
      </c>
      <c r="I376" s="107">
        <f t="shared" si="39"/>
        <v>100000</v>
      </c>
      <c r="J376" s="137"/>
    </row>
    <row r="377" spans="1:10" ht="12.75">
      <c r="A377" s="15" t="s">
        <v>134</v>
      </c>
      <c r="B377" s="1" t="s">
        <v>300</v>
      </c>
      <c r="C377" s="1" t="s">
        <v>54</v>
      </c>
      <c r="D377" s="1" t="s">
        <v>52</v>
      </c>
      <c r="E377" s="1" t="s">
        <v>262</v>
      </c>
      <c r="F377" s="17" t="s">
        <v>133</v>
      </c>
      <c r="G377" s="111">
        <v>100000</v>
      </c>
      <c r="H377" s="111"/>
      <c r="I377" s="107">
        <f t="shared" si="39"/>
        <v>100000</v>
      </c>
      <c r="J377" s="137"/>
    </row>
    <row r="378" spans="1:10" ht="12.75">
      <c r="A378" s="2" t="s">
        <v>476</v>
      </c>
      <c r="B378" s="1" t="s">
        <v>300</v>
      </c>
      <c r="C378" s="1" t="s">
        <v>54</v>
      </c>
      <c r="D378" s="1" t="s">
        <v>52</v>
      </c>
      <c r="E378" s="1" t="s">
        <v>357</v>
      </c>
      <c r="F378" s="17"/>
      <c r="G378" s="111">
        <f>G379</f>
        <v>50000</v>
      </c>
      <c r="H378" s="111">
        <f>H379</f>
        <v>0</v>
      </c>
      <c r="I378" s="107">
        <f t="shared" si="39"/>
        <v>50000</v>
      </c>
      <c r="J378" s="137"/>
    </row>
    <row r="379" spans="1:10" ht="12.75">
      <c r="A379" s="15" t="s">
        <v>134</v>
      </c>
      <c r="B379" s="1" t="s">
        <v>300</v>
      </c>
      <c r="C379" s="1" t="s">
        <v>54</v>
      </c>
      <c r="D379" s="1" t="s">
        <v>52</v>
      </c>
      <c r="E379" s="1" t="s">
        <v>357</v>
      </c>
      <c r="F379" s="17" t="s">
        <v>133</v>
      </c>
      <c r="G379" s="111">
        <v>50000</v>
      </c>
      <c r="H379" s="111"/>
      <c r="I379" s="107">
        <f t="shared" si="39"/>
        <v>50000</v>
      </c>
      <c r="J379" s="137"/>
    </row>
    <row r="380" spans="1:10" ht="42" customHeight="1">
      <c r="A380" s="15" t="s">
        <v>477</v>
      </c>
      <c r="B380" s="1" t="s">
        <v>300</v>
      </c>
      <c r="C380" s="1" t="s">
        <v>54</v>
      </c>
      <c r="D380" s="1" t="s">
        <v>52</v>
      </c>
      <c r="E380" s="1" t="s">
        <v>322</v>
      </c>
      <c r="F380" s="17"/>
      <c r="G380" s="111">
        <f>G381</f>
        <v>158480</v>
      </c>
      <c r="H380" s="111">
        <f>H381</f>
        <v>0</v>
      </c>
      <c r="I380" s="107">
        <f t="shared" si="39"/>
        <v>158480</v>
      </c>
      <c r="J380" s="137"/>
    </row>
    <row r="381" spans="1:10" ht="12.75">
      <c r="A381" s="15" t="s">
        <v>134</v>
      </c>
      <c r="B381" s="1" t="s">
        <v>300</v>
      </c>
      <c r="C381" s="1" t="s">
        <v>54</v>
      </c>
      <c r="D381" s="1" t="s">
        <v>52</v>
      </c>
      <c r="E381" s="1" t="s">
        <v>322</v>
      </c>
      <c r="F381" s="17" t="s">
        <v>133</v>
      </c>
      <c r="G381" s="111">
        <v>158480</v>
      </c>
      <c r="H381" s="111"/>
      <c r="I381" s="107">
        <f t="shared" si="39"/>
        <v>158480</v>
      </c>
      <c r="J381" s="137"/>
    </row>
    <row r="382" spans="1:10" ht="12.75">
      <c r="A382" s="15" t="s">
        <v>128</v>
      </c>
      <c r="B382" s="1" t="s">
        <v>300</v>
      </c>
      <c r="C382" s="1" t="s">
        <v>54</v>
      </c>
      <c r="D382" s="1" t="s">
        <v>52</v>
      </c>
      <c r="E382" s="1" t="s">
        <v>42</v>
      </c>
      <c r="F382" s="17"/>
      <c r="G382" s="111">
        <f>G383</f>
        <v>9817500</v>
      </c>
      <c r="H382" s="111">
        <f>H383</f>
        <v>0</v>
      </c>
      <c r="I382" s="107">
        <f t="shared" si="39"/>
        <v>9817500</v>
      </c>
      <c r="J382" s="137"/>
    </row>
    <row r="383" spans="1:10" ht="38.25">
      <c r="A383" s="7" t="s">
        <v>101</v>
      </c>
      <c r="B383" s="1" t="s">
        <v>300</v>
      </c>
      <c r="C383" s="1" t="s">
        <v>54</v>
      </c>
      <c r="D383" s="1" t="s">
        <v>52</v>
      </c>
      <c r="E383" s="1" t="s">
        <v>43</v>
      </c>
      <c r="F383" s="17"/>
      <c r="G383" s="111">
        <f>SUM(G384+G387+G390)</f>
        <v>9817500</v>
      </c>
      <c r="H383" s="111">
        <f>SUM(H384+H387+H390)</f>
        <v>0</v>
      </c>
      <c r="I383" s="107">
        <f t="shared" si="39"/>
        <v>9817500</v>
      </c>
      <c r="J383" s="137"/>
    </row>
    <row r="384" spans="1:10" ht="38.25">
      <c r="A384" s="15" t="s">
        <v>315</v>
      </c>
      <c r="B384" s="1" t="s">
        <v>300</v>
      </c>
      <c r="C384" s="1" t="s">
        <v>54</v>
      </c>
      <c r="D384" s="1" t="s">
        <v>52</v>
      </c>
      <c r="E384" s="1" t="s">
        <v>308</v>
      </c>
      <c r="F384" s="17"/>
      <c r="G384" s="111">
        <f>SUM(G385:G386)</f>
        <v>1993500</v>
      </c>
      <c r="H384" s="111">
        <f>SUM(H385:H386)</f>
        <v>0</v>
      </c>
      <c r="I384" s="107">
        <f t="shared" si="39"/>
        <v>1993500</v>
      </c>
      <c r="J384" s="137"/>
    </row>
    <row r="385" spans="1:10" ht="12.75">
      <c r="A385" s="15" t="s">
        <v>134</v>
      </c>
      <c r="B385" s="1" t="s">
        <v>300</v>
      </c>
      <c r="C385" s="1" t="s">
        <v>54</v>
      </c>
      <c r="D385" s="1" t="s">
        <v>52</v>
      </c>
      <c r="E385" s="1" t="s">
        <v>308</v>
      </c>
      <c r="F385" s="17" t="s">
        <v>133</v>
      </c>
      <c r="G385" s="111">
        <v>0</v>
      </c>
      <c r="H385" s="111"/>
      <c r="I385" s="107">
        <f t="shared" si="39"/>
        <v>0</v>
      </c>
      <c r="J385" s="137"/>
    </row>
    <row r="386" spans="1:10" ht="12.75">
      <c r="A386" s="2" t="s">
        <v>129</v>
      </c>
      <c r="B386" s="1" t="s">
        <v>300</v>
      </c>
      <c r="C386" s="1" t="s">
        <v>54</v>
      </c>
      <c r="D386" s="1" t="s">
        <v>52</v>
      </c>
      <c r="E386" s="1" t="s">
        <v>308</v>
      </c>
      <c r="F386" s="17" t="s">
        <v>130</v>
      </c>
      <c r="G386" s="111">
        <v>1993500</v>
      </c>
      <c r="H386" s="111"/>
      <c r="I386" s="107">
        <f t="shared" si="39"/>
        <v>1993500</v>
      </c>
      <c r="J386" s="137"/>
    </row>
    <row r="387" spans="1:10" ht="25.5">
      <c r="A387" s="15" t="s">
        <v>309</v>
      </c>
      <c r="B387" s="1" t="s">
        <v>300</v>
      </c>
      <c r="C387" s="1" t="s">
        <v>54</v>
      </c>
      <c r="D387" s="1" t="s">
        <v>52</v>
      </c>
      <c r="E387" s="1" t="s">
        <v>310</v>
      </c>
      <c r="F387" s="17"/>
      <c r="G387" s="111">
        <f>SUM(G388:G389)</f>
        <v>6647900</v>
      </c>
      <c r="H387" s="111">
        <f>SUM(H388:H389)</f>
        <v>0</v>
      </c>
      <c r="I387" s="107">
        <f t="shared" si="39"/>
        <v>6647900</v>
      </c>
      <c r="J387" s="137"/>
    </row>
    <row r="388" spans="1:10" ht="12.75">
      <c r="A388" s="15" t="s">
        <v>134</v>
      </c>
      <c r="B388" s="1" t="s">
        <v>300</v>
      </c>
      <c r="C388" s="1" t="s">
        <v>54</v>
      </c>
      <c r="D388" s="1" t="s">
        <v>52</v>
      </c>
      <c r="E388" s="1" t="s">
        <v>310</v>
      </c>
      <c r="F388" s="17" t="s">
        <v>133</v>
      </c>
      <c r="G388" s="111">
        <v>0</v>
      </c>
      <c r="H388" s="111"/>
      <c r="I388" s="107">
        <f t="shared" si="39"/>
        <v>0</v>
      </c>
      <c r="J388" s="137"/>
    </row>
    <row r="389" spans="1:10" ht="12.75">
      <c r="A389" s="2" t="s">
        <v>129</v>
      </c>
      <c r="B389" s="1" t="s">
        <v>300</v>
      </c>
      <c r="C389" s="1" t="s">
        <v>54</v>
      </c>
      <c r="D389" s="1" t="s">
        <v>52</v>
      </c>
      <c r="E389" s="1" t="s">
        <v>310</v>
      </c>
      <c r="F389" s="17" t="s">
        <v>130</v>
      </c>
      <c r="G389" s="111">
        <v>6647900</v>
      </c>
      <c r="H389" s="111"/>
      <c r="I389" s="107">
        <f t="shared" si="39"/>
        <v>6647900</v>
      </c>
      <c r="J389" s="137"/>
    </row>
    <row r="390" spans="1:10" ht="38.25">
      <c r="A390" s="15" t="s">
        <v>478</v>
      </c>
      <c r="B390" s="1" t="s">
        <v>300</v>
      </c>
      <c r="C390" s="1" t="s">
        <v>54</v>
      </c>
      <c r="D390" s="1" t="s">
        <v>52</v>
      </c>
      <c r="E390" s="1" t="s">
        <v>311</v>
      </c>
      <c r="F390" s="17"/>
      <c r="G390" s="111">
        <f>SUM(G391:G391)</f>
        <v>1176100</v>
      </c>
      <c r="H390" s="111">
        <f>SUM(H391:H391)</f>
        <v>0</v>
      </c>
      <c r="I390" s="107">
        <f t="shared" si="39"/>
        <v>1176100</v>
      </c>
      <c r="J390" s="137"/>
    </row>
    <row r="391" spans="1:10" ht="12.75">
      <c r="A391" s="15" t="s">
        <v>134</v>
      </c>
      <c r="B391" s="1" t="s">
        <v>300</v>
      </c>
      <c r="C391" s="1" t="s">
        <v>54</v>
      </c>
      <c r="D391" s="1" t="s">
        <v>52</v>
      </c>
      <c r="E391" s="1" t="s">
        <v>311</v>
      </c>
      <c r="F391" s="17" t="s">
        <v>133</v>
      </c>
      <c r="G391" s="111">
        <v>1176100</v>
      </c>
      <c r="H391" s="111"/>
      <c r="I391" s="107">
        <f t="shared" si="39"/>
        <v>1176100</v>
      </c>
      <c r="J391" s="137"/>
    </row>
    <row r="392" spans="1:10" ht="12.75">
      <c r="A392" s="2"/>
      <c r="B392" s="1"/>
      <c r="C392" s="1"/>
      <c r="D392" s="1"/>
      <c r="E392" s="1"/>
      <c r="F392" s="17"/>
      <c r="G392" s="111"/>
      <c r="H392" s="111"/>
      <c r="I392" s="111"/>
      <c r="J392" s="136"/>
    </row>
    <row r="393" spans="1:10" ht="12.75">
      <c r="A393" s="4" t="s">
        <v>127</v>
      </c>
      <c r="B393" s="19" t="s">
        <v>300</v>
      </c>
      <c r="C393" s="19" t="s">
        <v>54</v>
      </c>
      <c r="D393" s="19" t="s">
        <v>89</v>
      </c>
      <c r="E393" s="1"/>
      <c r="F393" s="17"/>
      <c r="G393" s="109">
        <f>+G397+G409+G394+G405+G400</f>
        <v>2694260.01</v>
      </c>
      <c r="H393" s="109">
        <f>+H397+H409+H394+H405+H400</f>
        <v>76000</v>
      </c>
      <c r="I393" s="109">
        <f>SUM(G393:H393)</f>
        <v>2770260.01</v>
      </c>
      <c r="J393" s="134"/>
    </row>
    <row r="394" spans="1:10" ht="25.5">
      <c r="A394" s="2" t="s">
        <v>138</v>
      </c>
      <c r="B394" s="1" t="s">
        <v>300</v>
      </c>
      <c r="C394" s="1" t="s">
        <v>54</v>
      </c>
      <c r="D394" s="1" t="s">
        <v>89</v>
      </c>
      <c r="E394" s="1" t="s">
        <v>139</v>
      </c>
      <c r="F394" s="17"/>
      <c r="G394" s="110">
        <f>+G395</f>
        <v>100000</v>
      </c>
      <c r="H394" s="110">
        <f>+H395</f>
        <v>0</v>
      </c>
      <c r="I394" s="107">
        <f aca="true" t="shared" si="40" ref="I394:I414">SUM(G394:H394)</f>
        <v>100000</v>
      </c>
      <c r="J394" s="137"/>
    </row>
    <row r="395" spans="1:10" ht="38.25">
      <c r="A395" s="15" t="s">
        <v>247</v>
      </c>
      <c r="B395" s="1" t="s">
        <v>300</v>
      </c>
      <c r="C395" s="1" t="s">
        <v>54</v>
      </c>
      <c r="D395" s="1" t="s">
        <v>89</v>
      </c>
      <c r="E395" s="1" t="s">
        <v>248</v>
      </c>
      <c r="F395" s="17"/>
      <c r="G395" s="110">
        <f>+G396</f>
        <v>100000</v>
      </c>
      <c r="H395" s="110">
        <f>+H396</f>
        <v>0</v>
      </c>
      <c r="I395" s="107">
        <f t="shared" si="40"/>
        <v>100000</v>
      </c>
      <c r="J395" s="137"/>
    </row>
    <row r="396" spans="1:10" ht="12.75">
      <c r="A396" s="2" t="s">
        <v>67</v>
      </c>
      <c r="B396" s="1" t="s">
        <v>300</v>
      </c>
      <c r="C396" s="1" t="s">
        <v>54</v>
      </c>
      <c r="D396" s="1" t="s">
        <v>89</v>
      </c>
      <c r="E396" s="1" t="s">
        <v>248</v>
      </c>
      <c r="F396" s="17" t="s">
        <v>60</v>
      </c>
      <c r="G396" s="110">
        <v>100000</v>
      </c>
      <c r="H396" s="110"/>
      <c r="I396" s="107">
        <f t="shared" si="40"/>
        <v>100000</v>
      </c>
      <c r="J396" s="137"/>
    </row>
    <row r="397" spans="1:10" ht="25.5">
      <c r="A397" s="7" t="s">
        <v>98</v>
      </c>
      <c r="B397" s="1" t="s">
        <v>300</v>
      </c>
      <c r="C397" s="1" t="s">
        <v>54</v>
      </c>
      <c r="D397" s="1" t="s">
        <v>89</v>
      </c>
      <c r="E397" s="1" t="s">
        <v>99</v>
      </c>
      <c r="F397" s="17"/>
      <c r="G397" s="107">
        <f>G398</f>
        <v>350000</v>
      </c>
      <c r="H397" s="107">
        <f>H398</f>
        <v>0</v>
      </c>
      <c r="I397" s="107">
        <f t="shared" si="40"/>
        <v>350000</v>
      </c>
      <c r="J397" s="137"/>
    </row>
    <row r="398" spans="1:10" ht="12.75" customHeight="1">
      <c r="A398" s="7" t="s">
        <v>242</v>
      </c>
      <c r="B398" s="1" t="s">
        <v>300</v>
      </c>
      <c r="C398" s="1" t="s">
        <v>54</v>
      </c>
      <c r="D398" s="1" t="s">
        <v>89</v>
      </c>
      <c r="E398" s="1" t="s">
        <v>1</v>
      </c>
      <c r="F398" s="17"/>
      <c r="G398" s="111">
        <f>G399</f>
        <v>350000</v>
      </c>
      <c r="H398" s="111">
        <f>H399</f>
        <v>0</v>
      </c>
      <c r="I398" s="107">
        <f t="shared" si="40"/>
        <v>350000</v>
      </c>
      <c r="J398" s="137"/>
    </row>
    <row r="399" spans="1:10" ht="12.75" customHeight="1">
      <c r="A399" s="15" t="s">
        <v>134</v>
      </c>
      <c r="B399" s="1" t="s">
        <v>300</v>
      </c>
      <c r="C399" s="1" t="s">
        <v>54</v>
      </c>
      <c r="D399" s="1" t="s">
        <v>89</v>
      </c>
      <c r="E399" s="1" t="s">
        <v>1</v>
      </c>
      <c r="F399" s="17" t="s">
        <v>133</v>
      </c>
      <c r="G399" s="111">
        <v>350000</v>
      </c>
      <c r="H399" s="111"/>
      <c r="I399" s="107">
        <f t="shared" si="40"/>
        <v>350000</v>
      </c>
      <c r="J399" s="137"/>
    </row>
    <row r="400" spans="1:10" ht="12.75" customHeight="1">
      <c r="A400" s="2" t="s">
        <v>140</v>
      </c>
      <c r="B400" s="1" t="s">
        <v>300</v>
      </c>
      <c r="C400" s="1" t="s">
        <v>54</v>
      </c>
      <c r="D400" s="1" t="s">
        <v>89</v>
      </c>
      <c r="E400" s="22" t="s">
        <v>141</v>
      </c>
      <c r="F400" s="17"/>
      <c r="G400" s="111">
        <f>G401</f>
        <v>1597260</v>
      </c>
      <c r="H400" s="111">
        <f>H401+H403</f>
        <v>76000</v>
      </c>
      <c r="I400" s="107">
        <f t="shared" si="40"/>
        <v>1673260</v>
      </c>
      <c r="J400" s="137"/>
    </row>
    <row r="401" spans="1:11" ht="39.75" customHeight="1">
      <c r="A401" s="2" t="s">
        <v>400</v>
      </c>
      <c r="B401" s="1" t="s">
        <v>300</v>
      </c>
      <c r="C401" s="1" t="s">
        <v>54</v>
      </c>
      <c r="D401" s="1" t="s">
        <v>89</v>
      </c>
      <c r="E401" s="22" t="s">
        <v>401</v>
      </c>
      <c r="F401" s="17"/>
      <c r="G401" s="111">
        <f>G402</f>
        <v>1597260</v>
      </c>
      <c r="H401" s="111">
        <f>H402</f>
        <v>0</v>
      </c>
      <c r="I401" s="107">
        <f t="shared" si="40"/>
        <v>1597260</v>
      </c>
      <c r="J401" s="137"/>
      <c r="K401" s="122"/>
    </row>
    <row r="402" spans="1:11" ht="63.75" customHeight="1">
      <c r="A402" s="7" t="s">
        <v>312</v>
      </c>
      <c r="B402" s="1" t="s">
        <v>300</v>
      </c>
      <c r="C402" s="1" t="s">
        <v>54</v>
      </c>
      <c r="D402" s="1" t="s">
        <v>89</v>
      </c>
      <c r="E402" s="22" t="s">
        <v>401</v>
      </c>
      <c r="F402" s="17" t="s">
        <v>264</v>
      </c>
      <c r="G402" s="111">
        <v>1597260</v>
      </c>
      <c r="H402" s="111"/>
      <c r="I402" s="107">
        <f t="shared" si="40"/>
        <v>1597260</v>
      </c>
      <c r="J402" s="137"/>
      <c r="K402" s="122"/>
    </row>
    <row r="403" spans="1:11" ht="36.75" customHeight="1">
      <c r="A403" s="2" t="s">
        <v>469</v>
      </c>
      <c r="B403" s="1" t="s">
        <v>300</v>
      </c>
      <c r="C403" s="1" t="s">
        <v>54</v>
      </c>
      <c r="D403" s="1" t="s">
        <v>89</v>
      </c>
      <c r="E403" s="22" t="s">
        <v>470</v>
      </c>
      <c r="F403" s="17"/>
      <c r="G403" s="111"/>
      <c r="H403" s="111">
        <f>H404</f>
        <v>76000</v>
      </c>
      <c r="I403" s="107">
        <f t="shared" si="40"/>
        <v>76000</v>
      </c>
      <c r="J403" s="137"/>
      <c r="K403" s="122"/>
    </row>
    <row r="404" spans="1:11" ht="18.75" customHeight="1">
      <c r="A404" s="15" t="s">
        <v>134</v>
      </c>
      <c r="B404" s="1" t="s">
        <v>300</v>
      </c>
      <c r="C404" s="1" t="s">
        <v>54</v>
      </c>
      <c r="D404" s="1" t="s">
        <v>89</v>
      </c>
      <c r="E404" s="22" t="s">
        <v>470</v>
      </c>
      <c r="F404" s="17" t="s">
        <v>133</v>
      </c>
      <c r="G404" s="111"/>
      <c r="H404" s="111">
        <v>76000</v>
      </c>
      <c r="I404" s="107">
        <f t="shared" si="40"/>
        <v>76000</v>
      </c>
      <c r="J404" s="137"/>
      <c r="K404" s="122"/>
    </row>
    <row r="405" spans="1:10" ht="12.75" customHeight="1">
      <c r="A405" s="15" t="s">
        <v>128</v>
      </c>
      <c r="B405" s="1" t="s">
        <v>300</v>
      </c>
      <c r="C405" s="1" t="s">
        <v>54</v>
      </c>
      <c r="D405" s="1" t="s">
        <v>89</v>
      </c>
      <c r="E405" s="1" t="s">
        <v>42</v>
      </c>
      <c r="F405" s="17"/>
      <c r="G405" s="111">
        <f aca="true" t="shared" si="41" ref="G405:H407">G406</f>
        <v>160000.01</v>
      </c>
      <c r="H405" s="111">
        <f t="shared" si="41"/>
        <v>0</v>
      </c>
      <c r="I405" s="107">
        <f t="shared" si="40"/>
        <v>160000.01</v>
      </c>
      <c r="J405" s="137"/>
    </row>
    <row r="406" spans="1:10" ht="41.25" customHeight="1">
      <c r="A406" s="7" t="s">
        <v>101</v>
      </c>
      <c r="B406" s="1" t="s">
        <v>300</v>
      </c>
      <c r="C406" s="1" t="s">
        <v>54</v>
      </c>
      <c r="D406" s="1" t="s">
        <v>89</v>
      </c>
      <c r="E406" s="1" t="s">
        <v>43</v>
      </c>
      <c r="F406" s="17"/>
      <c r="G406" s="111">
        <f t="shared" si="41"/>
        <v>160000.01</v>
      </c>
      <c r="H406" s="111">
        <f t="shared" si="41"/>
        <v>0</v>
      </c>
      <c r="I406" s="107">
        <f t="shared" si="40"/>
        <v>160000.01</v>
      </c>
      <c r="J406" s="137"/>
    </row>
    <row r="407" spans="1:10" ht="12.75" customHeight="1">
      <c r="A407" s="15" t="s">
        <v>398</v>
      </c>
      <c r="B407" s="1" t="s">
        <v>300</v>
      </c>
      <c r="C407" s="1" t="s">
        <v>54</v>
      </c>
      <c r="D407" s="1" t="s">
        <v>89</v>
      </c>
      <c r="E407" s="1" t="s">
        <v>399</v>
      </c>
      <c r="F407" s="17"/>
      <c r="G407" s="111">
        <f t="shared" si="41"/>
        <v>160000.01</v>
      </c>
      <c r="H407" s="111">
        <f t="shared" si="41"/>
        <v>0</v>
      </c>
      <c r="I407" s="107">
        <f t="shared" si="40"/>
        <v>160000.01</v>
      </c>
      <c r="J407" s="137"/>
    </row>
    <row r="408" spans="1:13" ht="12.75" customHeight="1">
      <c r="A408" s="15" t="s">
        <v>67</v>
      </c>
      <c r="B408" s="1" t="s">
        <v>300</v>
      </c>
      <c r="C408" s="1" t="s">
        <v>54</v>
      </c>
      <c r="D408" s="1" t="s">
        <v>89</v>
      </c>
      <c r="E408" s="1" t="s">
        <v>399</v>
      </c>
      <c r="F408" s="17" t="s">
        <v>60</v>
      </c>
      <c r="G408" s="111">
        <v>160000.01</v>
      </c>
      <c r="H408" s="111"/>
      <c r="I408" s="107">
        <f t="shared" si="40"/>
        <v>160000.01</v>
      </c>
      <c r="J408" s="137"/>
      <c r="M408" s="122"/>
    </row>
    <row r="409" spans="1:10" ht="12.75" customHeight="1">
      <c r="A409" s="15" t="s">
        <v>147</v>
      </c>
      <c r="B409" s="1" t="s">
        <v>300</v>
      </c>
      <c r="C409" s="1" t="s">
        <v>54</v>
      </c>
      <c r="D409" s="1" t="s">
        <v>89</v>
      </c>
      <c r="E409" s="1" t="s">
        <v>148</v>
      </c>
      <c r="F409" s="17"/>
      <c r="G409" s="111">
        <f>G413+G410</f>
        <v>487000</v>
      </c>
      <c r="H409" s="111">
        <f>H413+H412</f>
        <v>0</v>
      </c>
      <c r="I409" s="107">
        <f t="shared" si="40"/>
        <v>487000</v>
      </c>
      <c r="J409" s="137"/>
    </row>
    <row r="410" spans="1:10" ht="41.25" customHeight="1">
      <c r="A410" s="7" t="s">
        <v>350</v>
      </c>
      <c r="B410" s="1" t="s">
        <v>300</v>
      </c>
      <c r="C410" s="1" t="s">
        <v>54</v>
      </c>
      <c r="D410" s="1" t="s">
        <v>89</v>
      </c>
      <c r="E410" s="1" t="s">
        <v>215</v>
      </c>
      <c r="F410" s="17"/>
      <c r="G410" s="111">
        <f>G411</f>
        <v>449700</v>
      </c>
      <c r="H410" s="111">
        <f>H411</f>
        <v>0</v>
      </c>
      <c r="I410" s="107">
        <f t="shared" si="40"/>
        <v>449700</v>
      </c>
      <c r="J410" s="137"/>
    </row>
    <row r="411" spans="1:10" ht="13.5" customHeight="1">
      <c r="A411" s="15" t="s">
        <v>413</v>
      </c>
      <c r="B411" s="1" t="s">
        <v>300</v>
      </c>
      <c r="C411" s="1" t="s">
        <v>54</v>
      </c>
      <c r="D411" s="1" t="s">
        <v>89</v>
      </c>
      <c r="E411" s="1" t="s">
        <v>414</v>
      </c>
      <c r="F411" s="17"/>
      <c r="G411" s="111">
        <f>G412</f>
        <v>449700</v>
      </c>
      <c r="H411" s="111">
        <f>H412</f>
        <v>0</v>
      </c>
      <c r="I411" s="107">
        <f t="shared" si="40"/>
        <v>449700</v>
      </c>
      <c r="J411" s="137"/>
    </row>
    <row r="412" spans="1:12" ht="12.75" customHeight="1">
      <c r="A412" s="2" t="s">
        <v>142</v>
      </c>
      <c r="B412" s="1" t="s">
        <v>300</v>
      </c>
      <c r="C412" s="1" t="s">
        <v>54</v>
      </c>
      <c r="D412" s="1" t="s">
        <v>89</v>
      </c>
      <c r="E412" s="1" t="s">
        <v>414</v>
      </c>
      <c r="F412" s="17" t="s">
        <v>143</v>
      </c>
      <c r="G412" s="111">
        <v>449700</v>
      </c>
      <c r="H412" s="111"/>
      <c r="I412" s="107">
        <f t="shared" si="40"/>
        <v>449700</v>
      </c>
      <c r="J412" s="137"/>
      <c r="L412" s="122"/>
    </row>
    <row r="413" spans="1:10" ht="38.25">
      <c r="A413" s="2" t="s">
        <v>356</v>
      </c>
      <c r="B413" s="1" t="s">
        <v>300</v>
      </c>
      <c r="C413" s="1" t="s">
        <v>54</v>
      </c>
      <c r="D413" s="1" t="s">
        <v>89</v>
      </c>
      <c r="E413" s="1" t="s">
        <v>226</v>
      </c>
      <c r="F413" s="17"/>
      <c r="G413" s="111">
        <f>SUM(G414)</f>
        <v>37300</v>
      </c>
      <c r="H413" s="111">
        <f>SUM(H414)</f>
        <v>0</v>
      </c>
      <c r="I413" s="107">
        <f t="shared" si="40"/>
        <v>37300</v>
      </c>
      <c r="J413" s="137"/>
    </row>
    <row r="414" spans="1:10" ht="12.75" customHeight="1">
      <c r="A414" s="2" t="s">
        <v>67</v>
      </c>
      <c r="B414" s="1" t="s">
        <v>300</v>
      </c>
      <c r="C414" s="1" t="s">
        <v>54</v>
      </c>
      <c r="D414" s="1" t="s">
        <v>89</v>
      </c>
      <c r="E414" s="1" t="s">
        <v>226</v>
      </c>
      <c r="F414" s="17" t="s">
        <v>60</v>
      </c>
      <c r="G414" s="111">
        <v>37300</v>
      </c>
      <c r="H414" s="111"/>
      <c r="I414" s="107">
        <f t="shared" si="40"/>
        <v>37300</v>
      </c>
      <c r="J414" s="137"/>
    </row>
    <row r="415" spans="1:10" ht="12.75">
      <c r="A415" s="7"/>
      <c r="B415" s="1"/>
      <c r="C415" s="1"/>
      <c r="D415" s="1"/>
      <c r="E415" s="1"/>
      <c r="F415" s="17"/>
      <c r="G415" s="111"/>
      <c r="H415" s="111"/>
      <c r="I415" s="111"/>
      <c r="J415" s="136"/>
    </row>
    <row r="416" spans="1:10" ht="15.75">
      <c r="A416" s="34" t="s">
        <v>184</v>
      </c>
      <c r="B416" s="41" t="s">
        <v>300</v>
      </c>
      <c r="C416" s="41" t="s">
        <v>57</v>
      </c>
      <c r="D416" s="42"/>
      <c r="E416" s="42"/>
      <c r="F416" s="17"/>
      <c r="G416" s="108">
        <f>SUM(G425+G417+G450)</f>
        <v>2451170</v>
      </c>
      <c r="H416" s="108">
        <f>SUM(H425+H417+H450)</f>
        <v>20679708.37</v>
      </c>
      <c r="I416" s="108">
        <f>SUM(I425+I417+I450)</f>
        <v>23130878.37</v>
      </c>
      <c r="J416" s="133"/>
    </row>
    <row r="417" spans="1:10" ht="12.75">
      <c r="A417" s="23" t="s">
        <v>266</v>
      </c>
      <c r="B417" s="19" t="s">
        <v>300</v>
      </c>
      <c r="C417" s="19" t="s">
        <v>57</v>
      </c>
      <c r="D417" s="19" t="s">
        <v>59</v>
      </c>
      <c r="E417" s="1"/>
      <c r="F417" s="17"/>
      <c r="G417" s="109">
        <f>+G418</f>
        <v>100000</v>
      </c>
      <c r="H417" s="109">
        <f>+H418</f>
        <v>-96000</v>
      </c>
      <c r="I417" s="109">
        <f aca="true" t="shared" si="42" ref="I417:I423">SUM(G417:H417)</f>
        <v>4000</v>
      </c>
      <c r="J417" s="134"/>
    </row>
    <row r="418" spans="1:10" ht="12.75">
      <c r="A418" s="15" t="s">
        <v>147</v>
      </c>
      <c r="B418" s="1" t="s">
        <v>300</v>
      </c>
      <c r="C418" s="1" t="s">
        <v>57</v>
      </c>
      <c r="D418" s="1" t="s">
        <v>59</v>
      </c>
      <c r="E418" s="1" t="s">
        <v>148</v>
      </c>
      <c r="F418" s="17"/>
      <c r="G418" s="107">
        <f>+G422+G419</f>
        <v>100000</v>
      </c>
      <c r="H418" s="107">
        <f>+H422+H419</f>
        <v>-96000</v>
      </c>
      <c r="I418" s="107">
        <f t="shared" si="42"/>
        <v>4000</v>
      </c>
      <c r="J418" s="137"/>
    </row>
    <row r="419" spans="1:10" ht="38.25">
      <c r="A419" s="7" t="s">
        <v>350</v>
      </c>
      <c r="B419" s="1" t="s">
        <v>300</v>
      </c>
      <c r="C419" s="1" t="s">
        <v>57</v>
      </c>
      <c r="D419" s="1" t="s">
        <v>59</v>
      </c>
      <c r="E419" s="1" t="s">
        <v>215</v>
      </c>
      <c r="F419" s="17"/>
      <c r="G419" s="107"/>
      <c r="H419" s="107">
        <f>H420</f>
        <v>4000</v>
      </c>
      <c r="I419" s="107">
        <f t="shared" si="42"/>
        <v>4000</v>
      </c>
      <c r="J419" s="137"/>
    </row>
    <row r="420" spans="1:10" ht="12.75">
      <c r="A420" s="15" t="s">
        <v>468</v>
      </c>
      <c r="B420" s="1" t="s">
        <v>300</v>
      </c>
      <c r="C420" s="1" t="s">
        <v>57</v>
      </c>
      <c r="D420" s="1" t="s">
        <v>59</v>
      </c>
      <c r="E420" s="1" t="s">
        <v>414</v>
      </c>
      <c r="F420" s="17"/>
      <c r="G420" s="107"/>
      <c r="H420" s="107">
        <f>H421</f>
        <v>4000</v>
      </c>
      <c r="I420" s="107">
        <f t="shared" si="42"/>
        <v>4000</v>
      </c>
      <c r="J420" s="137"/>
    </row>
    <row r="421" spans="1:11" ht="12.75">
      <c r="A421" s="15" t="s">
        <v>134</v>
      </c>
      <c r="B421" s="1" t="s">
        <v>300</v>
      </c>
      <c r="C421" s="1" t="s">
        <v>57</v>
      </c>
      <c r="D421" s="1" t="s">
        <v>59</v>
      </c>
      <c r="E421" s="1" t="s">
        <v>414</v>
      </c>
      <c r="F421" s="17" t="s">
        <v>133</v>
      </c>
      <c r="G421" s="107"/>
      <c r="H421" s="107">
        <v>4000</v>
      </c>
      <c r="I421" s="107">
        <f t="shared" si="42"/>
        <v>4000</v>
      </c>
      <c r="J421" s="137"/>
      <c r="K421">
        <v>4000</v>
      </c>
    </row>
    <row r="422" spans="1:10" ht="38.25">
      <c r="A422" s="2" t="s">
        <v>352</v>
      </c>
      <c r="B422" s="1" t="s">
        <v>300</v>
      </c>
      <c r="C422" s="1" t="s">
        <v>57</v>
      </c>
      <c r="D422" s="1" t="s">
        <v>59</v>
      </c>
      <c r="E422" s="1" t="s">
        <v>267</v>
      </c>
      <c r="F422" s="17"/>
      <c r="G422" s="107">
        <f>+G423</f>
        <v>100000</v>
      </c>
      <c r="H422" s="107">
        <f>+H423</f>
        <v>-100000</v>
      </c>
      <c r="I422" s="107">
        <f t="shared" si="42"/>
        <v>0</v>
      </c>
      <c r="J422" s="137"/>
    </row>
    <row r="423" spans="1:12" ht="12.75">
      <c r="A423" s="15" t="s">
        <v>134</v>
      </c>
      <c r="B423" s="1" t="s">
        <v>300</v>
      </c>
      <c r="C423" s="1" t="s">
        <v>57</v>
      </c>
      <c r="D423" s="1" t="s">
        <v>59</v>
      </c>
      <c r="E423" s="1" t="s">
        <v>267</v>
      </c>
      <c r="F423" s="17" t="s">
        <v>133</v>
      </c>
      <c r="G423" s="107">
        <v>100000</v>
      </c>
      <c r="H423" s="107">
        <v>-100000</v>
      </c>
      <c r="I423" s="107">
        <f t="shared" si="42"/>
        <v>0</v>
      </c>
      <c r="J423" s="137"/>
      <c r="L423">
        <v>100000</v>
      </c>
    </row>
    <row r="424" spans="1:10" ht="12.75">
      <c r="A424" s="2"/>
      <c r="B424" s="1"/>
      <c r="C424" s="1"/>
      <c r="D424" s="1"/>
      <c r="E424" s="1"/>
      <c r="F424" s="17"/>
      <c r="G424" s="107"/>
      <c r="H424" s="107"/>
      <c r="I424" s="107"/>
      <c r="J424" s="137"/>
    </row>
    <row r="425" spans="1:10" ht="12.75">
      <c r="A425" s="23" t="s">
        <v>186</v>
      </c>
      <c r="B425" s="19" t="s">
        <v>300</v>
      </c>
      <c r="C425" s="19" t="s">
        <v>57</v>
      </c>
      <c r="D425" s="19" t="s">
        <v>55</v>
      </c>
      <c r="E425" s="1"/>
      <c r="F425" s="17"/>
      <c r="G425" s="109">
        <f>G426+G435+G439+G431+G428</f>
        <v>2311170</v>
      </c>
      <c r="H425" s="109">
        <f>H426+H435+H439+H431+H428</f>
        <v>20775708.37</v>
      </c>
      <c r="I425" s="109">
        <f aca="true" t="shared" si="43" ref="I425:I430">SUM(G425:H425)</f>
        <v>23086878.37</v>
      </c>
      <c r="J425" s="134"/>
    </row>
    <row r="426" spans="1:10" ht="12.75">
      <c r="A426" s="7" t="s">
        <v>359</v>
      </c>
      <c r="B426" s="14" t="s">
        <v>300</v>
      </c>
      <c r="C426" s="14" t="s">
        <v>57</v>
      </c>
      <c r="D426" s="14" t="s">
        <v>55</v>
      </c>
      <c r="E426" s="1" t="s">
        <v>358</v>
      </c>
      <c r="F426" s="17"/>
      <c r="G426" s="107">
        <f>G427</f>
        <v>159000</v>
      </c>
      <c r="H426" s="107">
        <f>H427</f>
        <v>0</v>
      </c>
      <c r="I426" s="107">
        <f t="shared" si="43"/>
        <v>159000</v>
      </c>
      <c r="J426" s="137"/>
    </row>
    <row r="427" spans="1:10" ht="12.75">
      <c r="A427" s="15" t="s">
        <v>134</v>
      </c>
      <c r="B427" s="14" t="s">
        <v>300</v>
      </c>
      <c r="C427" s="14" t="s">
        <v>57</v>
      </c>
      <c r="D427" s="14" t="s">
        <v>55</v>
      </c>
      <c r="E427" s="1" t="s">
        <v>358</v>
      </c>
      <c r="F427" s="17" t="s">
        <v>133</v>
      </c>
      <c r="G427" s="107">
        <v>159000</v>
      </c>
      <c r="H427" s="107"/>
      <c r="I427" s="107">
        <f t="shared" si="43"/>
        <v>159000</v>
      </c>
      <c r="J427" s="137"/>
    </row>
    <row r="428" spans="1:10" ht="12.75">
      <c r="A428" s="2" t="s">
        <v>441</v>
      </c>
      <c r="B428" s="1" t="s">
        <v>300</v>
      </c>
      <c r="C428" s="1" t="s">
        <v>57</v>
      </c>
      <c r="D428" s="1" t="s">
        <v>55</v>
      </c>
      <c r="E428" s="1" t="s">
        <v>442</v>
      </c>
      <c r="F428" s="17"/>
      <c r="G428" s="107">
        <f>G429</f>
        <v>27200</v>
      </c>
      <c r="H428" s="107">
        <f>H429</f>
        <v>0</v>
      </c>
      <c r="I428" s="107">
        <f t="shared" si="43"/>
        <v>27200</v>
      </c>
      <c r="J428" s="137"/>
    </row>
    <row r="429" spans="1:10" ht="38.25">
      <c r="A429" s="2" t="s">
        <v>443</v>
      </c>
      <c r="B429" s="1" t="s">
        <v>300</v>
      </c>
      <c r="C429" s="1" t="s">
        <v>57</v>
      </c>
      <c r="D429" s="1" t="s">
        <v>55</v>
      </c>
      <c r="E429" s="1" t="s">
        <v>444</v>
      </c>
      <c r="F429" s="17"/>
      <c r="G429" s="107">
        <f>G430</f>
        <v>27200</v>
      </c>
      <c r="H429" s="107">
        <f>H430</f>
        <v>0</v>
      </c>
      <c r="I429" s="107">
        <f t="shared" si="43"/>
        <v>27200</v>
      </c>
      <c r="J429" s="137"/>
    </row>
    <row r="430" spans="1:10" ht="12.75">
      <c r="A430" s="15" t="s">
        <v>134</v>
      </c>
      <c r="B430" s="14" t="s">
        <v>300</v>
      </c>
      <c r="C430" s="1" t="s">
        <v>57</v>
      </c>
      <c r="D430" s="1" t="s">
        <v>55</v>
      </c>
      <c r="E430" s="1" t="s">
        <v>444</v>
      </c>
      <c r="F430" s="17" t="s">
        <v>133</v>
      </c>
      <c r="G430" s="107">
        <v>27200</v>
      </c>
      <c r="H430" s="107"/>
      <c r="I430" s="107">
        <f t="shared" si="43"/>
        <v>27200</v>
      </c>
      <c r="J430" s="137"/>
    </row>
    <row r="431" spans="1:10" ht="12.75">
      <c r="A431" s="2" t="s">
        <v>140</v>
      </c>
      <c r="B431" s="1" t="s">
        <v>300</v>
      </c>
      <c r="C431" s="1" t="s">
        <v>57</v>
      </c>
      <c r="D431" s="1" t="s">
        <v>55</v>
      </c>
      <c r="E431" s="1" t="s">
        <v>141</v>
      </c>
      <c r="F431" s="17"/>
      <c r="G431" s="107">
        <f>G432</f>
        <v>136000</v>
      </c>
      <c r="H431" s="107">
        <f>H432</f>
        <v>17429900</v>
      </c>
      <c r="I431" s="107">
        <f aca="true" t="shared" si="44" ref="I431:I438">H431+G431</f>
        <v>17565900</v>
      </c>
      <c r="J431" s="137"/>
    </row>
    <row r="432" spans="1:10" ht="39.75" customHeight="1">
      <c r="A432" s="2" t="s">
        <v>448</v>
      </c>
      <c r="B432" s="1" t="s">
        <v>300</v>
      </c>
      <c r="C432" s="1" t="s">
        <v>57</v>
      </c>
      <c r="D432" s="1" t="s">
        <v>55</v>
      </c>
      <c r="E432" s="1" t="s">
        <v>447</v>
      </c>
      <c r="F432" s="17"/>
      <c r="G432" s="107">
        <f>G433</f>
        <v>136000</v>
      </c>
      <c r="H432" s="107">
        <f>SUM(H433:H434)</f>
        <v>17429900</v>
      </c>
      <c r="I432" s="107">
        <f t="shared" si="44"/>
        <v>17565900</v>
      </c>
      <c r="J432" s="137"/>
    </row>
    <row r="433" spans="1:10" ht="12.75">
      <c r="A433" s="15" t="s">
        <v>134</v>
      </c>
      <c r="B433" s="1" t="s">
        <v>300</v>
      </c>
      <c r="C433" s="1" t="s">
        <v>57</v>
      </c>
      <c r="D433" s="1" t="s">
        <v>55</v>
      </c>
      <c r="E433" s="1" t="s">
        <v>447</v>
      </c>
      <c r="F433" s="17" t="s">
        <v>133</v>
      </c>
      <c r="G433" s="107">
        <v>136000</v>
      </c>
      <c r="H433" s="107"/>
      <c r="I433" s="107">
        <f t="shared" si="44"/>
        <v>136000</v>
      </c>
      <c r="J433" s="137"/>
    </row>
    <row r="434" spans="1:10" ht="12.75">
      <c r="A434" s="2" t="s">
        <v>142</v>
      </c>
      <c r="B434" s="1" t="s">
        <v>300</v>
      </c>
      <c r="C434" s="1" t="s">
        <v>57</v>
      </c>
      <c r="D434" s="1" t="s">
        <v>55</v>
      </c>
      <c r="E434" s="1" t="s">
        <v>447</v>
      </c>
      <c r="F434" s="17" t="s">
        <v>143</v>
      </c>
      <c r="G434" s="107"/>
      <c r="H434" s="107">
        <v>17429900</v>
      </c>
      <c r="I434" s="107">
        <f t="shared" si="44"/>
        <v>17429900</v>
      </c>
      <c r="J434" s="137"/>
    </row>
    <row r="435" spans="1:10" ht="12.75">
      <c r="A435" s="15" t="s">
        <v>128</v>
      </c>
      <c r="B435" s="1" t="s">
        <v>300</v>
      </c>
      <c r="C435" s="1" t="s">
        <v>57</v>
      </c>
      <c r="D435" s="1" t="s">
        <v>55</v>
      </c>
      <c r="E435" s="1" t="s">
        <v>42</v>
      </c>
      <c r="F435" s="17"/>
      <c r="G435" s="107"/>
      <c r="H435" s="107">
        <f>H436</f>
        <v>2000000</v>
      </c>
      <c r="I435" s="107">
        <f t="shared" si="44"/>
        <v>2000000</v>
      </c>
      <c r="J435" s="137"/>
    </row>
    <row r="436" spans="1:10" ht="38.25">
      <c r="A436" s="7" t="s">
        <v>101</v>
      </c>
      <c r="B436" s="1" t="s">
        <v>300</v>
      </c>
      <c r="C436" s="1" t="s">
        <v>57</v>
      </c>
      <c r="D436" s="1" t="s">
        <v>55</v>
      </c>
      <c r="E436" s="1" t="s">
        <v>43</v>
      </c>
      <c r="F436" s="17"/>
      <c r="G436" s="107"/>
      <c r="H436" s="107">
        <f>H437</f>
        <v>2000000</v>
      </c>
      <c r="I436" s="107">
        <f t="shared" si="44"/>
        <v>2000000</v>
      </c>
      <c r="J436" s="137"/>
    </row>
    <row r="437" spans="1:10" ht="89.25">
      <c r="A437" s="7" t="s">
        <v>417</v>
      </c>
      <c r="B437" s="1" t="s">
        <v>300</v>
      </c>
      <c r="C437" s="1" t="s">
        <v>57</v>
      </c>
      <c r="D437" s="1" t="s">
        <v>55</v>
      </c>
      <c r="E437" s="1" t="s">
        <v>418</v>
      </c>
      <c r="F437" s="17"/>
      <c r="G437" s="107"/>
      <c r="H437" s="107">
        <f>H438</f>
        <v>2000000</v>
      </c>
      <c r="I437" s="107">
        <f t="shared" si="44"/>
        <v>2000000</v>
      </c>
      <c r="J437" s="137"/>
    </row>
    <row r="438" spans="1:10" ht="12.75">
      <c r="A438" s="2" t="s">
        <v>181</v>
      </c>
      <c r="B438" s="1" t="s">
        <v>300</v>
      </c>
      <c r="C438" s="1" t="s">
        <v>57</v>
      </c>
      <c r="D438" s="1" t="s">
        <v>55</v>
      </c>
      <c r="E438" s="1" t="s">
        <v>418</v>
      </c>
      <c r="F438" s="17" t="s">
        <v>143</v>
      </c>
      <c r="G438" s="107"/>
      <c r="H438" s="107">
        <v>2000000</v>
      </c>
      <c r="I438" s="107">
        <f t="shared" si="44"/>
        <v>2000000</v>
      </c>
      <c r="J438" s="137"/>
    </row>
    <row r="439" spans="1:10" ht="12.75">
      <c r="A439" s="2" t="s">
        <v>147</v>
      </c>
      <c r="B439" s="14" t="s">
        <v>300</v>
      </c>
      <c r="C439" s="14" t="s">
        <v>57</v>
      </c>
      <c r="D439" s="14" t="s">
        <v>55</v>
      </c>
      <c r="E439" s="14" t="s">
        <v>148</v>
      </c>
      <c r="F439" s="17"/>
      <c r="G439" s="107">
        <f>G442+G445+G440</f>
        <v>1988970</v>
      </c>
      <c r="H439" s="107">
        <f>H442+H445+H440</f>
        <v>1345808.37</v>
      </c>
      <c r="I439" s="107">
        <f>I442+I445+I440</f>
        <v>3334778.37</v>
      </c>
      <c r="J439" s="137"/>
    </row>
    <row r="440" spans="1:10" ht="38.25">
      <c r="A440" s="8" t="s">
        <v>354</v>
      </c>
      <c r="B440" s="14" t="s">
        <v>300</v>
      </c>
      <c r="C440" s="14" t="s">
        <v>57</v>
      </c>
      <c r="D440" s="14" t="s">
        <v>55</v>
      </c>
      <c r="E440" s="14" t="s">
        <v>214</v>
      </c>
      <c r="F440" s="17"/>
      <c r="G440" s="107">
        <f>+G441</f>
        <v>269000</v>
      </c>
      <c r="H440" s="107">
        <f>SUM(H441:H441)</f>
        <v>-169670.1</v>
      </c>
      <c r="I440" s="107">
        <f aca="true" t="shared" si="45" ref="I440:I448">SUM(G440:H440)</f>
        <v>99329.9</v>
      </c>
      <c r="J440" s="137"/>
    </row>
    <row r="441" spans="1:12" ht="12.75">
      <c r="A441" s="2" t="s">
        <v>142</v>
      </c>
      <c r="B441" s="14" t="s">
        <v>300</v>
      </c>
      <c r="C441" s="14" t="s">
        <v>57</v>
      </c>
      <c r="D441" s="14" t="s">
        <v>55</v>
      </c>
      <c r="E441" s="14" t="s">
        <v>214</v>
      </c>
      <c r="F441" s="17" t="s">
        <v>143</v>
      </c>
      <c r="G441" s="107">
        <v>269000</v>
      </c>
      <c r="H441" s="107">
        <v>-169670.1</v>
      </c>
      <c r="I441" s="107">
        <f t="shared" si="45"/>
        <v>99329.9</v>
      </c>
      <c r="J441" s="137"/>
      <c r="L441">
        <v>169670.1</v>
      </c>
    </row>
    <row r="442" spans="1:10" ht="38.25">
      <c r="A442" s="7" t="s">
        <v>350</v>
      </c>
      <c r="B442" s="14" t="s">
        <v>300</v>
      </c>
      <c r="C442" s="14" t="s">
        <v>57</v>
      </c>
      <c r="D442" s="14" t="s">
        <v>55</v>
      </c>
      <c r="E442" s="14" t="s">
        <v>215</v>
      </c>
      <c r="F442" s="17"/>
      <c r="G442" s="107">
        <f>+G443</f>
        <v>200000</v>
      </c>
      <c r="H442" s="107">
        <f>+H443</f>
        <v>-200000</v>
      </c>
      <c r="I442" s="107">
        <f t="shared" si="45"/>
        <v>0</v>
      </c>
      <c r="J442" s="137"/>
    </row>
    <row r="443" spans="1:10" ht="17.25" customHeight="1">
      <c r="A443" s="2" t="s">
        <v>217</v>
      </c>
      <c r="B443" s="14" t="s">
        <v>300</v>
      </c>
      <c r="C443" s="14" t="s">
        <v>57</v>
      </c>
      <c r="D443" s="14" t="s">
        <v>55</v>
      </c>
      <c r="E443" s="14" t="s">
        <v>216</v>
      </c>
      <c r="F443" s="17"/>
      <c r="G443" s="107">
        <f>+G444</f>
        <v>200000</v>
      </c>
      <c r="H443" s="107">
        <f>+H444</f>
        <v>-200000</v>
      </c>
      <c r="I443" s="107">
        <f t="shared" si="45"/>
        <v>0</v>
      </c>
      <c r="J443" s="137"/>
    </row>
    <row r="444" spans="1:12" ht="12.75">
      <c r="A444" s="2" t="s">
        <v>142</v>
      </c>
      <c r="B444" s="14" t="s">
        <v>300</v>
      </c>
      <c r="C444" s="14" t="s">
        <v>57</v>
      </c>
      <c r="D444" s="14" t="s">
        <v>55</v>
      </c>
      <c r="E444" s="14" t="s">
        <v>216</v>
      </c>
      <c r="F444" s="17" t="s">
        <v>143</v>
      </c>
      <c r="G444" s="107">
        <v>200000</v>
      </c>
      <c r="H444" s="107">
        <v>-200000</v>
      </c>
      <c r="I444" s="107">
        <f t="shared" si="45"/>
        <v>0</v>
      </c>
      <c r="J444" s="137"/>
      <c r="L444">
        <v>200000</v>
      </c>
    </row>
    <row r="445" spans="1:10" ht="41.25" customHeight="1">
      <c r="A445" s="2" t="s">
        <v>411</v>
      </c>
      <c r="B445" s="14" t="s">
        <v>300</v>
      </c>
      <c r="C445" s="14" t="s">
        <v>57</v>
      </c>
      <c r="D445" s="14" t="s">
        <v>55</v>
      </c>
      <c r="E445" s="14" t="s">
        <v>412</v>
      </c>
      <c r="F445" s="17"/>
      <c r="G445" s="107">
        <f>SUM(G446:G447)</f>
        <v>1519970</v>
      </c>
      <c r="H445" s="107">
        <f>SUM(H446:H448)</f>
        <v>1715478.4700000002</v>
      </c>
      <c r="I445" s="107">
        <f t="shared" si="45"/>
        <v>3235448.47</v>
      </c>
      <c r="J445" s="137"/>
    </row>
    <row r="446" spans="1:12" ht="12.75">
      <c r="A446" s="15" t="s">
        <v>134</v>
      </c>
      <c r="B446" s="14" t="s">
        <v>300</v>
      </c>
      <c r="C446" s="14" t="s">
        <v>57</v>
      </c>
      <c r="D446" s="14" t="s">
        <v>55</v>
      </c>
      <c r="E446" s="14" t="s">
        <v>412</v>
      </c>
      <c r="F446" s="17" t="s">
        <v>133</v>
      </c>
      <c r="G446" s="107">
        <v>404000</v>
      </c>
      <c r="H446" s="107">
        <v>-126000</v>
      </c>
      <c r="I446" s="107">
        <f t="shared" si="45"/>
        <v>278000</v>
      </c>
      <c r="J446" s="137"/>
      <c r="L446" s="122"/>
    </row>
    <row r="447" spans="1:12" ht="12.75">
      <c r="A447" s="2" t="s">
        <v>142</v>
      </c>
      <c r="B447" s="14" t="s">
        <v>300</v>
      </c>
      <c r="C447" s="14" t="s">
        <v>57</v>
      </c>
      <c r="D447" s="14" t="s">
        <v>55</v>
      </c>
      <c r="E447" s="14" t="s">
        <v>412</v>
      </c>
      <c r="F447" s="17" t="s">
        <v>143</v>
      </c>
      <c r="G447" s="107">
        <v>1115970</v>
      </c>
      <c r="H447" s="107">
        <f>3715478.47-2000000</f>
        <v>1715478.4700000002</v>
      </c>
      <c r="I447" s="107">
        <f t="shared" si="45"/>
        <v>2831448.47</v>
      </c>
      <c r="J447" s="137"/>
      <c r="K447">
        <f>3715478.47-2000000</f>
        <v>1715478.4700000002</v>
      </c>
      <c r="L447" s="122"/>
    </row>
    <row r="448" spans="1:12" ht="12.75">
      <c r="A448" s="15" t="s">
        <v>406</v>
      </c>
      <c r="B448" s="14" t="s">
        <v>300</v>
      </c>
      <c r="C448" s="14" t="s">
        <v>57</v>
      </c>
      <c r="D448" s="14" t="s">
        <v>55</v>
      </c>
      <c r="E448" s="14" t="s">
        <v>412</v>
      </c>
      <c r="F448" s="17" t="s">
        <v>405</v>
      </c>
      <c r="G448" s="107"/>
      <c r="H448" s="107">
        <v>126000</v>
      </c>
      <c r="I448" s="107">
        <f t="shared" si="45"/>
        <v>126000</v>
      </c>
      <c r="J448" s="137"/>
      <c r="L448" s="122"/>
    </row>
    <row r="449" spans="1:10" ht="12.75">
      <c r="A449" s="2"/>
      <c r="B449" s="14"/>
      <c r="C449" s="14"/>
      <c r="D449" s="14"/>
      <c r="E449" s="14"/>
      <c r="F449" s="17"/>
      <c r="G449" s="107"/>
      <c r="H449" s="107"/>
      <c r="I449" s="107"/>
      <c r="J449" s="137"/>
    </row>
    <row r="450" spans="1:10" ht="12.75">
      <c r="A450" s="4" t="s">
        <v>428</v>
      </c>
      <c r="B450" s="19" t="s">
        <v>300</v>
      </c>
      <c r="C450" s="19" t="s">
        <v>57</v>
      </c>
      <c r="D450" s="19" t="s">
        <v>41</v>
      </c>
      <c r="E450" s="19"/>
      <c r="F450" s="37"/>
      <c r="G450" s="109">
        <f aca="true" t="shared" si="46" ref="G450:H453">G451</f>
        <v>40000</v>
      </c>
      <c r="H450" s="109">
        <f t="shared" si="46"/>
        <v>0</v>
      </c>
      <c r="I450" s="109">
        <f>H450+G450</f>
        <v>40000</v>
      </c>
      <c r="J450" s="134"/>
    </row>
    <row r="451" spans="1:10" ht="12.75">
      <c r="A451" s="2" t="s">
        <v>128</v>
      </c>
      <c r="B451" s="1" t="s">
        <v>300</v>
      </c>
      <c r="C451" s="1" t="s">
        <v>57</v>
      </c>
      <c r="D451" s="1" t="s">
        <v>41</v>
      </c>
      <c r="E451" s="1" t="s">
        <v>42</v>
      </c>
      <c r="F451" s="37"/>
      <c r="G451" s="107">
        <f t="shared" si="46"/>
        <v>40000</v>
      </c>
      <c r="H451" s="107">
        <f t="shared" si="46"/>
        <v>0</v>
      </c>
      <c r="I451" s="107">
        <f>H451+G451</f>
        <v>40000</v>
      </c>
      <c r="J451" s="137"/>
    </row>
    <row r="452" spans="1:10" ht="41.25" customHeight="1">
      <c r="A452" s="2" t="s">
        <v>101</v>
      </c>
      <c r="B452" s="1" t="s">
        <v>300</v>
      </c>
      <c r="C452" s="1" t="s">
        <v>57</v>
      </c>
      <c r="D452" s="1" t="s">
        <v>41</v>
      </c>
      <c r="E452" s="1" t="s">
        <v>43</v>
      </c>
      <c r="F452" s="37"/>
      <c r="G452" s="107">
        <f t="shared" si="46"/>
        <v>40000</v>
      </c>
      <c r="H452" s="107">
        <f t="shared" si="46"/>
        <v>0</v>
      </c>
      <c r="I452" s="107">
        <f>H452+G452</f>
        <v>40000</v>
      </c>
      <c r="J452" s="137"/>
    </row>
    <row r="453" spans="1:10" ht="24.75" customHeight="1">
      <c r="A453" s="15" t="s">
        <v>429</v>
      </c>
      <c r="B453" s="14" t="s">
        <v>300</v>
      </c>
      <c r="C453" s="14" t="s">
        <v>57</v>
      </c>
      <c r="D453" s="14" t="s">
        <v>41</v>
      </c>
      <c r="E453" s="14" t="s">
        <v>430</v>
      </c>
      <c r="F453" s="17"/>
      <c r="G453" s="107">
        <f t="shared" si="46"/>
        <v>40000</v>
      </c>
      <c r="H453" s="107">
        <f t="shared" si="46"/>
        <v>0</v>
      </c>
      <c r="I453" s="107">
        <f>H453+G453</f>
        <v>40000</v>
      </c>
      <c r="J453" s="137"/>
    </row>
    <row r="454" spans="1:10" ht="12.75">
      <c r="A454" s="15" t="s">
        <v>406</v>
      </c>
      <c r="B454" s="14" t="s">
        <v>300</v>
      </c>
      <c r="C454" s="14" t="s">
        <v>57</v>
      </c>
      <c r="D454" s="14" t="s">
        <v>41</v>
      </c>
      <c r="E454" s="14" t="s">
        <v>430</v>
      </c>
      <c r="F454" s="17" t="s">
        <v>405</v>
      </c>
      <c r="G454" s="107">
        <v>40000</v>
      </c>
      <c r="H454" s="107"/>
      <c r="I454" s="107">
        <f>H454+G454</f>
        <v>40000</v>
      </c>
      <c r="J454" s="137"/>
    </row>
    <row r="455" spans="1:10" ht="12.75">
      <c r="A455" s="2"/>
      <c r="B455" s="14"/>
      <c r="C455" s="14"/>
      <c r="D455" s="14"/>
      <c r="E455" s="14"/>
      <c r="F455" s="17"/>
      <c r="G455" s="107"/>
      <c r="H455" s="107"/>
      <c r="I455" s="107"/>
      <c r="J455" s="137"/>
    </row>
    <row r="456" spans="1:10" ht="15.75">
      <c r="A456" s="34" t="s">
        <v>360</v>
      </c>
      <c r="B456" s="41" t="s">
        <v>300</v>
      </c>
      <c r="C456" s="41" t="s">
        <v>17</v>
      </c>
      <c r="D456" s="14"/>
      <c r="E456" s="14"/>
      <c r="F456" s="17"/>
      <c r="G456" s="108">
        <f>SUM(G457)</f>
        <v>50000</v>
      </c>
      <c r="H456" s="108">
        <f>SUM(H457)</f>
        <v>0</v>
      </c>
      <c r="I456" s="108">
        <f>SUM(G456:H456)</f>
        <v>50000</v>
      </c>
      <c r="J456" s="133"/>
    </row>
    <row r="457" spans="1:10" ht="25.5">
      <c r="A457" s="4" t="s">
        <v>361</v>
      </c>
      <c r="B457" s="19" t="s">
        <v>300</v>
      </c>
      <c r="C457" s="19" t="s">
        <v>17</v>
      </c>
      <c r="D457" s="19" t="s">
        <v>41</v>
      </c>
      <c r="E457" s="14"/>
      <c r="F457" s="17"/>
      <c r="G457" s="109">
        <f aca="true" t="shared" si="47" ref="G457:H459">G458</f>
        <v>50000</v>
      </c>
      <c r="H457" s="109">
        <f t="shared" si="47"/>
        <v>0</v>
      </c>
      <c r="I457" s="109">
        <f>SUM(G457:H457)</f>
        <v>50000</v>
      </c>
      <c r="J457" s="134"/>
    </row>
    <row r="458" spans="1:10" ht="12.75">
      <c r="A458" s="2" t="s">
        <v>362</v>
      </c>
      <c r="B458" s="14" t="s">
        <v>300</v>
      </c>
      <c r="C458" s="14" t="s">
        <v>17</v>
      </c>
      <c r="D458" s="14" t="s">
        <v>41</v>
      </c>
      <c r="E458" s="14" t="s">
        <v>363</v>
      </c>
      <c r="F458" s="17"/>
      <c r="G458" s="107">
        <f t="shared" si="47"/>
        <v>50000</v>
      </c>
      <c r="H458" s="107">
        <f t="shared" si="47"/>
        <v>0</v>
      </c>
      <c r="I458" s="107">
        <f>SUM(G458:H458)</f>
        <v>50000</v>
      </c>
      <c r="J458" s="137"/>
    </row>
    <row r="459" spans="1:10" ht="12.75">
      <c r="A459" s="2" t="s">
        <v>364</v>
      </c>
      <c r="B459" s="14" t="s">
        <v>300</v>
      </c>
      <c r="C459" s="14" t="s">
        <v>17</v>
      </c>
      <c r="D459" s="14" t="s">
        <v>41</v>
      </c>
      <c r="E459" s="14" t="s">
        <v>365</v>
      </c>
      <c r="F459" s="17"/>
      <c r="G459" s="107">
        <f t="shared" si="47"/>
        <v>50000</v>
      </c>
      <c r="H459" s="107">
        <f t="shared" si="47"/>
        <v>0</v>
      </c>
      <c r="I459" s="107">
        <f>SUM(G459:H459)</f>
        <v>50000</v>
      </c>
      <c r="J459" s="137"/>
    </row>
    <row r="460" spans="1:10" ht="12.75">
      <c r="A460" s="15" t="s">
        <v>134</v>
      </c>
      <c r="B460" s="14" t="s">
        <v>300</v>
      </c>
      <c r="C460" s="14" t="s">
        <v>17</v>
      </c>
      <c r="D460" s="14" t="s">
        <v>41</v>
      </c>
      <c r="E460" s="14" t="s">
        <v>365</v>
      </c>
      <c r="F460" s="17" t="s">
        <v>133</v>
      </c>
      <c r="G460" s="107">
        <v>50000</v>
      </c>
      <c r="H460" s="107"/>
      <c r="I460" s="107">
        <f>SUM(G460:H460)</f>
        <v>50000</v>
      </c>
      <c r="J460" s="137"/>
    </row>
    <row r="461" spans="1:10" ht="12.75">
      <c r="A461" s="15"/>
      <c r="B461" s="14"/>
      <c r="C461" s="14"/>
      <c r="D461" s="14"/>
      <c r="E461" s="14"/>
      <c r="F461" s="17"/>
      <c r="G461" s="107"/>
      <c r="H461" s="107"/>
      <c r="I461" s="107"/>
      <c r="J461" s="137"/>
    </row>
    <row r="462" spans="1:10" ht="15.75">
      <c r="A462" s="34" t="s">
        <v>77</v>
      </c>
      <c r="B462" s="41" t="s">
        <v>300</v>
      </c>
      <c r="C462" s="41" t="s">
        <v>16</v>
      </c>
      <c r="D462" s="42"/>
      <c r="E462" s="42"/>
      <c r="F462" s="17"/>
      <c r="G462" s="108">
        <f>SUM(G463+G474)</f>
        <v>106579141.18</v>
      </c>
      <c r="H462" s="108">
        <f>SUM(H463+H474)</f>
        <v>-4380077</v>
      </c>
      <c r="I462" s="108">
        <f aca="true" t="shared" si="48" ref="I462:I474">SUM(G462:H462)</f>
        <v>102199064.18</v>
      </c>
      <c r="J462" s="133"/>
    </row>
    <row r="463" spans="1:10" ht="15">
      <c r="A463" s="4" t="s">
        <v>32</v>
      </c>
      <c r="B463" s="18" t="s">
        <v>300</v>
      </c>
      <c r="C463" s="18" t="s">
        <v>16</v>
      </c>
      <c r="D463" s="18" t="s">
        <v>59</v>
      </c>
      <c r="E463" s="42"/>
      <c r="F463" s="17"/>
      <c r="G463" s="109">
        <f>G468+G464</f>
        <v>4500000</v>
      </c>
      <c r="H463" s="109">
        <f>H468+H464</f>
        <v>-2496047</v>
      </c>
      <c r="I463" s="109">
        <f>SUM(G463:H463)</f>
        <v>2003953</v>
      </c>
      <c r="J463" s="134"/>
    </row>
    <row r="464" spans="1:10" ht="12.75">
      <c r="A464" s="15" t="s">
        <v>128</v>
      </c>
      <c r="B464" s="1" t="s">
        <v>300</v>
      </c>
      <c r="C464" s="1" t="s">
        <v>16</v>
      </c>
      <c r="D464" s="1" t="s">
        <v>59</v>
      </c>
      <c r="E464" s="1" t="s">
        <v>42</v>
      </c>
      <c r="F464" s="17"/>
      <c r="G464" s="107">
        <f aca="true" t="shared" si="49" ref="G464:H466">G465</f>
        <v>4000000</v>
      </c>
      <c r="H464" s="107">
        <f t="shared" si="49"/>
        <v>-2000000</v>
      </c>
      <c r="I464" s="107">
        <f t="shared" si="48"/>
        <v>2000000</v>
      </c>
      <c r="J464" s="137"/>
    </row>
    <row r="465" spans="1:10" ht="42.75" customHeight="1">
      <c r="A465" s="7" t="s">
        <v>101</v>
      </c>
      <c r="B465" s="1" t="s">
        <v>300</v>
      </c>
      <c r="C465" s="1" t="s">
        <v>16</v>
      </c>
      <c r="D465" s="1" t="s">
        <v>59</v>
      </c>
      <c r="E465" s="1" t="s">
        <v>43</v>
      </c>
      <c r="F465" s="17"/>
      <c r="G465" s="107">
        <f t="shared" si="49"/>
        <v>4000000</v>
      </c>
      <c r="H465" s="107">
        <f t="shared" si="49"/>
        <v>-2000000</v>
      </c>
      <c r="I465" s="107">
        <f t="shared" si="48"/>
        <v>2000000</v>
      </c>
      <c r="J465" s="137"/>
    </row>
    <row r="466" spans="1:10" ht="89.25">
      <c r="A466" s="7" t="s">
        <v>417</v>
      </c>
      <c r="B466" s="1" t="s">
        <v>300</v>
      </c>
      <c r="C466" s="1" t="s">
        <v>16</v>
      </c>
      <c r="D466" s="1" t="s">
        <v>59</v>
      </c>
      <c r="E466" s="1" t="s">
        <v>418</v>
      </c>
      <c r="F466" s="17"/>
      <c r="G466" s="107">
        <f t="shared" si="49"/>
        <v>4000000</v>
      </c>
      <c r="H466" s="107">
        <f t="shared" si="49"/>
        <v>-2000000</v>
      </c>
      <c r="I466" s="107">
        <f t="shared" si="48"/>
        <v>2000000</v>
      </c>
      <c r="J466" s="137"/>
    </row>
    <row r="467" spans="1:13" ht="12.75">
      <c r="A467" s="2" t="s">
        <v>181</v>
      </c>
      <c r="B467" s="1" t="s">
        <v>300</v>
      </c>
      <c r="C467" s="1" t="s">
        <v>16</v>
      </c>
      <c r="D467" s="1" t="s">
        <v>59</v>
      </c>
      <c r="E467" s="1" t="s">
        <v>418</v>
      </c>
      <c r="F467" s="17" t="s">
        <v>143</v>
      </c>
      <c r="G467" s="107">
        <v>4000000</v>
      </c>
      <c r="H467" s="107">
        <v>-2000000</v>
      </c>
      <c r="I467" s="107">
        <f t="shared" si="48"/>
        <v>2000000</v>
      </c>
      <c r="J467" s="137"/>
      <c r="M467" s="122"/>
    </row>
    <row r="468" spans="1:10" ht="12.75">
      <c r="A468" s="2" t="s">
        <v>147</v>
      </c>
      <c r="B468" s="1" t="s">
        <v>300</v>
      </c>
      <c r="C468" s="1" t="s">
        <v>16</v>
      </c>
      <c r="D468" s="1" t="s">
        <v>59</v>
      </c>
      <c r="E468" s="1" t="s">
        <v>148</v>
      </c>
      <c r="F468" s="17"/>
      <c r="G468" s="111">
        <f aca="true" t="shared" si="50" ref="G468:H470">G469</f>
        <v>500000</v>
      </c>
      <c r="H468" s="111">
        <f t="shared" si="50"/>
        <v>-496047</v>
      </c>
      <c r="I468" s="107">
        <f t="shared" si="48"/>
        <v>3953</v>
      </c>
      <c r="J468" s="137"/>
    </row>
    <row r="469" spans="1:10" ht="38.25">
      <c r="A469" s="7" t="s">
        <v>350</v>
      </c>
      <c r="B469" s="14" t="s">
        <v>300</v>
      </c>
      <c r="C469" s="14" t="s">
        <v>16</v>
      </c>
      <c r="D469" s="14" t="s">
        <v>59</v>
      </c>
      <c r="E469" s="14" t="s">
        <v>215</v>
      </c>
      <c r="F469" s="21"/>
      <c r="G469" s="111">
        <f t="shared" si="50"/>
        <v>500000</v>
      </c>
      <c r="H469" s="111">
        <f t="shared" si="50"/>
        <v>-496047</v>
      </c>
      <c r="I469" s="107">
        <f t="shared" si="48"/>
        <v>3953</v>
      </c>
      <c r="J469" s="137"/>
    </row>
    <row r="470" spans="1:10" ht="12.75">
      <c r="A470" s="7" t="s">
        <v>219</v>
      </c>
      <c r="B470" s="14" t="s">
        <v>300</v>
      </c>
      <c r="C470" s="14" t="s">
        <v>16</v>
      </c>
      <c r="D470" s="14" t="s">
        <v>59</v>
      </c>
      <c r="E470" s="14" t="s">
        <v>218</v>
      </c>
      <c r="F470" s="21"/>
      <c r="G470" s="111">
        <f t="shared" si="50"/>
        <v>500000</v>
      </c>
      <c r="H470" s="111">
        <f>SUM(H471:H472)</f>
        <v>-496047</v>
      </c>
      <c r="I470" s="107">
        <f t="shared" si="48"/>
        <v>3953</v>
      </c>
      <c r="J470" s="137"/>
    </row>
    <row r="471" spans="1:10" ht="12.75">
      <c r="A471" s="2" t="s">
        <v>181</v>
      </c>
      <c r="B471" s="87" t="s">
        <v>300</v>
      </c>
      <c r="C471" s="87" t="s">
        <v>16</v>
      </c>
      <c r="D471" s="87" t="s">
        <v>59</v>
      </c>
      <c r="E471" s="87" t="s">
        <v>218</v>
      </c>
      <c r="F471" s="88" t="s">
        <v>143</v>
      </c>
      <c r="G471" s="111">
        <v>500000</v>
      </c>
      <c r="H471" s="111">
        <v>-500000</v>
      </c>
      <c r="I471" s="107">
        <f t="shared" si="48"/>
        <v>0</v>
      </c>
      <c r="J471" s="137"/>
    </row>
    <row r="472" spans="1:11" ht="12.75">
      <c r="A472" s="15" t="s">
        <v>134</v>
      </c>
      <c r="B472" s="87" t="s">
        <v>300</v>
      </c>
      <c r="C472" s="87" t="s">
        <v>16</v>
      </c>
      <c r="D472" s="87" t="s">
        <v>59</v>
      </c>
      <c r="E472" s="87" t="s">
        <v>218</v>
      </c>
      <c r="F472" s="88" t="s">
        <v>133</v>
      </c>
      <c r="G472" s="111"/>
      <c r="H472" s="111">
        <v>3953</v>
      </c>
      <c r="I472" s="107">
        <f t="shared" si="48"/>
        <v>3953</v>
      </c>
      <c r="J472" s="137"/>
      <c r="K472">
        <v>3953</v>
      </c>
    </row>
    <row r="473" spans="1:10" ht="12.75">
      <c r="A473" s="2"/>
      <c r="B473" s="87"/>
      <c r="C473" s="87"/>
      <c r="D473" s="87"/>
      <c r="E473" s="87"/>
      <c r="F473" s="88"/>
      <c r="G473" s="111"/>
      <c r="H473" s="111"/>
      <c r="I473" s="107"/>
      <c r="J473" s="137"/>
    </row>
    <row r="474" spans="1:10" s="89" customFormat="1" ht="12.75">
      <c r="A474" s="4" t="s">
        <v>78</v>
      </c>
      <c r="B474" s="19" t="s">
        <v>300</v>
      </c>
      <c r="C474" s="19" t="s">
        <v>16</v>
      </c>
      <c r="D474" s="19" t="s">
        <v>55</v>
      </c>
      <c r="E474" s="19"/>
      <c r="F474" s="37"/>
      <c r="G474" s="109">
        <f>G479+G475</f>
        <v>102079141.18</v>
      </c>
      <c r="H474" s="109">
        <f>H479+H475</f>
        <v>-1884030</v>
      </c>
      <c r="I474" s="109">
        <f t="shared" si="48"/>
        <v>100195111.18</v>
      </c>
      <c r="J474" s="134"/>
    </row>
    <row r="475" spans="1:10" s="89" customFormat="1" ht="12.75">
      <c r="A475" s="2" t="s">
        <v>140</v>
      </c>
      <c r="B475" s="87" t="s">
        <v>300</v>
      </c>
      <c r="C475" s="87" t="s">
        <v>16</v>
      </c>
      <c r="D475" s="87" t="s">
        <v>55</v>
      </c>
      <c r="E475" s="87" t="s">
        <v>141</v>
      </c>
      <c r="F475" s="88"/>
      <c r="G475" s="110">
        <f>SUM(G476)</f>
        <v>76020600</v>
      </c>
      <c r="H475" s="110">
        <f>SUM(H476)</f>
        <v>0</v>
      </c>
      <c r="I475" s="107">
        <f aca="true" t="shared" si="51" ref="I475:I482">SUM(G475:H475)</f>
        <v>76020600</v>
      </c>
      <c r="J475" s="137"/>
    </row>
    <row r="476" spans="1:10" ht="38.25">
      <c r="A476" s="7" t="s">
        <v>290</v>
      </c>
      <c r="B476" s="87" t="s">
        <v>300</v>
      </c>
      <c r="C476" s="87" t="s">
        <v>16</v>
      </c>
      <c r="D476" s="87" t="s">
        <v>55</v>
      </c>
      <c r="E476" s="14" t="s">
        <v>289</v>
      </c>
      <c r="F476" s="21"/>
      <c r="G476" s="107">
        <f>SUM(G477:G477)</f>
        <v>76020600</v>
      </c>
      <c r="H476" s="107">
        <f>SUM(H477:H477)</f>
        <v>0</v>
      </c>
      <c r="I476" s="107">
        <f t="shared" si="51"/>
        <v>76020600</v>
      </c>
      <c r="J476" s="137"/>
    </row>
    <row r="477" spans="1:10" ht="64.5" customHeight="1">
      <c r="A477" s="7" t="s">
        <v>312</v>
      </c>
      <c r="B477" s="87" t="s">
        <v>300</v>
      </c>
      <c r="C477" s="87" t="s">
        <v>16</v>
      </c>
      <c r="D477" s="87" t="s">
        <v>55</v>
      </c>
      <c r="E477" s="14" t="s">
        <v>289</v>
      </c>
      <c r="F477" s="21" t="s">
        <v>264</v>
      </c>
      <c r="G477" s="107">
        <v>76020600</v>
      </c>
      <c r="H477" s="107"/>
      <c r="I477" s="107">
        <f t="shared" si="51"/>
        <v>76020600</v>
      </c>
      <c r="J477" s="137"/>
    </row>
    <row r="478" spans="1:10" s="89" customFormat="1" ht="12.75">
      <c r="A478" s="2" t="s">
        <v>147</v>
      </c>
      <c r="B478" s="87" t="s">
        <v>300</v>
      </c>
      <c r="C478" s="87" t="s">
        <v>16</v>
      </c>
      <c r="D478" s="87" t="s">
        <v>55</v>
      </c>
      <c r="E478" s="87" t="s">
        <v>148</v>
      </c>
      <c r="F478" s="88"/>
      <c r="G478" s="110">
        <f>G479</f>
        <v>26058541.18</v>
      </c>
      <c r="H478" s="110">
        <f>H479</f>
        <v>-1884030</v>
      </c>
      <c r="I478" s="107">
        <f t="shared" si="51"/>
        <v>24174511.18</v>
      </c>
      <c r="J478" s="137"/>
    </row>
    <row r="479" spans="1:10" ht="38.25">
      <c r="A479" s="7" t="s">
        <v>350</v>
      </c>
      <c r="B479" s="14" t="s">
        <v>300</v>
      </c>
      <c r="C479" s="14" t="s">
        <v>16</v>
      </c>
      <c r="D479" s="14" t="s">
        <v>55</v>
      </c>
      <c r="E479" s="14" t="s">
        <v>215</v>
      </c>
      <c r="F479" s="21"/>
      <c r="G479" s="107">
        <f>+G480</f>
        <v>26058541.18</v>
      </c>
      <c r="H479" s="107">
        <f>+H480</f>
        <v>-1884030</v>
      </c>
      <c r="I479" s="107">
        <f t="shared" si="51"/>
        <v>24174511.18</v>
      </c>
      <c r="J479" s="137"/>
    </row>
    <row r="480" spans="1:10" ht="12.75">
      <c r="A480" s="7" t="s">
        <v>219</v>
      </c>
      <c r="B480" s="14" t="s">
        <v>300</v>
      </c>
      <c r="C480" s="14" t="s">
        <v>16</v>
      </c>
      <c r="D480" s="14" t="s">
        <v>55</v>
      </c>
      <c r="E480" s="14" t="s">
        <v>218</v>
      </c>
      <c r="F480" s="21"/>
      <c r="G480" s="107">
        <f>+G481</f>
        <v>26058541.18</v>
      </c>
      <c r="H480" s="107">
        <f>SUM(H481:H482)</f>
        <v>-1884030</v>
      </c>
      <c r="I480" s="107">
        <f t="shared" si="51"/>
        <v>24174511.18</v>
      </c>
      <c r="J480" s="137"/>
    </row>
    <row r="481" spans="1:12" s="89" customFormat="1" ht="12.75">
      <c r="A481" s="2" t="s">
        <v>181</v>
      </c>
      <c r="B481" s="87" t="s">
        <v>300</v>
      </c>
      <c r="C481" s="87" t="s">
        <v>16</v>
      </c>
      <c r="D481" s="87" t="s">
        <v>55</v>
      </c>
      <c r="E481" s="87" t="s">
        <v>218</v>
      </c>
      <c r="F481" s="88" t="s">
        <v>143</v>
      </c>
      <c r="G481" s="110">
        <v>26058541.18</v>
      </c>
      <c r="H481" s="110">
        <f>-144364.03-1884030</f>
        <v>-2028394.03</v>
      </c>
      <c r="I481" s="107">
        <f t="shared" si="51"/>
        <v>24030147.15</v>
      </c>
      <c r="J481" s="137"/>
      <c r="L481" s="124">
        <v>1884030</v>
      </c>
    </row>
    <row r="482" spans="1:12" s="89" customFormat="1" ht="12.75">
      <c r="A482" s="15" t="s">
        <v>134</v>
      </c>
      <c r="B482" s="87" t="s">
        <v>300</v>
      </c>
      <c r="C482" s="87" t="s">
        <v>16</v>
      </c>
      <c r="D482" s="87" t="s">
        <v>55</v>
      </c>
      <c r="E482" s="87" t="s">
        <v>218</v>
      </c>
      <c r="F482" s="88" t="s">
        <v>133</v>
      </c>
      <c r="G482" s="110"/>
      <c r="H482" s="110">
        <v>144364.03</v>
      </c>
      <c r="I482" s="107">
        <f t="shared" si="51"/>
        <v>144364.03</v>
      </c>
      <c r="J482" s="137"/>
      <c r="L482" s="124"/>
    </row>
    <row r="483" spans="1:10" s="89" customFormat="1" ht="12.75">
      <c r="A483" s="2"/>
      <c r="B483" s="87"/>
      <c r="C483" s="87"/>
      <c r="D483" s="87"/>
      <c r="E483" s="87"/>
      <c r="F483" s="88"/>
      <c r="G483" s="110"/>
      <c r="H483" s="110"/>
      <c r="I483" s="110"/>
      <c r="J483" s="135"/>
    </row>
    <row r="484" spans="1:10" ht="15.75">
      <c r="A484" s="45" t="s">
        <v>204</v>
      </c>
      <c r="B484" s="41" t="s">
        <v>300</v>
      </c>
      <c r="C484" s="41" t="s">
        <v>84</v>
      </c>
      <c r="D484" s="42"/>
      <c r="E484" s="42"/>
      <c r="F484" s="43"/>
      <c r="G484" s="108">
        <f aca="true" t="shared" si="52" ref="G484:H486">+G485</f>
        <v>1381278</v>
      </c>
      <c r="H484" s="108">
        <f t="shared" si="52"/>
        <v>13424914</v>
      </c>
      <c r="I484" s="108">
        <f aca="true" t="shared" si="53" ref="I484:I497">SUM(G484:H484)</f>
        <v>14806192</v>
      </c>
      <c r="J484" s="133"/>
    </row>
    <row r="485" spans="1:10" ht="12.75">
      <c r="A485" s="23" t="s">
        <v>85</v>
      </c>
      <c r="B485" s="19" t="s">
        <v>300</v>
      </c>
      <c r="C485" s="19" t="s">
        <v>84</v>
      </c>
      <c r="D485" s="19" t="s">
        <v>59</v>
      </c>
      <c r="E485" s="19"/>
      <c r="F485" s="37"/>
      <c r="G485" s="109">
        <f>+G486+G495</f>
        <v>1381278</v>
      </c>
      <c r="H485" s="109">
        <f>+H486+H495</f>
        <v>13424914</v>
      </c>
      <c r="I485" s="109">
        <f t="shared" si="53"/>
        <v>14806192</v>
      </c>
      <c r="J485" s="134"/>
    </row>
    <row r="486" spans="1:10" ht="12.75">
      <c r="A486" s="2" t="s">
        <v>128</v>
      </c>
      <c r="B486" s="1" t="s">
        <v>300</v>
      </c>
      <c r="C486" s="1" t="s">
        <v>84</v>
      </c>
      <c r="D486" s="1" t="s">
        <v>59</v>
      </c>
      <c r="E486" s="14" t="s">
        <v>42</v>
      </c>
      <c r="F486" s="37"/>
      <c r="G486" s="111">
        <f>+G487</f>
        <v>1072278</v>
      </c>
      <c r="H486" s="111">
        <f t="shared" si="52"/>
        <v>13424914</v>
      </c>
      <c r="I486" s="107">
        <f t="shared" si="53"/>
        <v>14497192</v>
      </c>
      <c r="J486" s="137"/>
    </row>
    <row r="487" spans="1:10" ht="39" customHeight="1">
      <c r="A487" s="2" t="s">
        <v>101</v>
      </c>
      <c r="B487" s="1" t="s">
        <v>300</v>
      </c>
      <c r="C487" s="1" t="s">
        <v>84</v>
      </c>
      <c r="D487" s="1" t="s">
        <v>59</v>
      </c>
      <c r="E487" s="14" t="s">
        <v>43</v>
      </c>
      <c r="F487" s="21"/>
      <c r="G487" s="111">
        <f>SUM(G488+G490+G493)</f>
        <v>1072278</v>
      </c>
      <c r="H487" s="111">
        <f>SUM(H488+H493+H490)</f>
        <v>13424914</v>
      </c>
      <c r="I487" s="107">
        <f t="shared" si="53"/>
        <v>14497192</v>
      </c>
      <c r="J487" s="137"/>
    </row>
    <row r="488" spans="1:11" ht="63.75">
      <c r="A488" s="5" t="s">
        <v>205</v>
      </c>
      <c r="B488" s="1" t="s">
        <v>300</v>
      </c>
      <c r="C488" s="1" t="s">
        <v>84</v>
      </c>
      <c r="D488" s="1" t="s">
        <v>59</v>
      </c>
      <c r="E488" s="1" t="s">
        <v>47</v>
      </c>
      <c r="F488" s="17"/>
      <c r="G488" s="111">
        <f>+G489</f>
        <v>82300</v>
      </c>
      <c r="H488" s="111">
        <f>+H489</f>
        <v>0</v>
      </c>
      <c r="I488" s="107">
        <f t="shared" si="53"/>
        <v>82300</v>
      </c>
      <c r="J488" s="137"/>
      <c r="K488" s="30"/>
    </row>
    <row r="489" spans="1:10" ht="12.75">
      <c r="A489" s="2" t="s">
        <v>129</v>
      </c>
      <c r="B489" s="1" t="s">
        <v>300</v>
      </c>
      <c r="C489" s="1" t="s">
        <v>84</v>
      </c>
      <c r="D489" s="1" t="s">
        <v>59</v>
      </c>
      <c r="E489" s="1" t="s">
        <v>47</v>
      </c>
      <c r="F489" s="17" t="s">
        <v>130</v>
      </c>
      <c r="G489" s="111">
        <v>82300</v>
      </c>
      <c r="H489" s="111"/>
      <c r="I489" s="107">
        <f t="shared" si="53"/>
        <v>82300</v>
      </c>
      <c r="J489" s="137"/>
    </row>
    <row r="490" spans="1:10" ht="63.75">
      <c r="A490" s="2" t="s">
        <v>426</v>
      </c>
      <c r="B490" s="1" t="s">
        <v>300</v>
      </c>
      <c r="C490" s="1" t="s">
        <v>84</v>
      </c>
      <c r="D490" s="1" t="s">
        <v>59</v>
      </c>
      <c r="E490" s="3" t="s">
        <v>427</v>
      </c>
      <c r="F490" s="17"/>
      <c r="G490" s="111">
        <f>SUM(G491:G492)</f>
        <v>618800</v>
      </c>
      <c r="H490" s="111">
        <f>SUM(H491:H492)</f>
        <v>13489600</v>
      </c>
      <c r="I490" s="107">
        <f t="shared" si="53"/>
        <v>14108400</v>
      </c>
      <c r="J490" s="137"/>
    </row>
    <row r="491" spans="1:13" ht="12.75">
      <c r="A491" s="2" t="s">
        <v>129</v>
      </c>
      <c r="B491" s="1" t="s">
        <v>300</v>
      </c>
      <c r="C491" s="1" t="s">
        <v>84</v>
      </c>
      <c r="D491" s="1" t="s">
        <v>59</v>
      </c>
      <c r="E491" s="3" t="s">
        <v>427</v>
      </c>
      <c r="F491" s="17" t="s">
        <v>130</v>
      </c>
      <c r="G491" s="111">
        <v>618800</v>
      </c>
      <c r="H491" s="111">
        <v>-107900</v>
      </c>
      <c r="I491" s="107">
        <f t="shared" si="53"/>
        <v>510900</v>
      </c>
      <c r="J491" s="137"/>
      <c r="M491" s="122"/>
    </row>
    <row r="492" spans="1:13" ht="12.75">
      <c r="A492" s="15" t="s">
        <v>134</v>
      </c>
      <c r="B492" s="1" t="s">
        <v>300</v>
      </c>
      <c r="C492" s="1" t="s">
        <v>84</v>
      </c>
      <c r="D492" s="1" t="s">
        <v>59</v>
      </c>
      <c r="E492" s="3" t="s">
        <v>427</v>
      </c>
      <c r="F492" s="17" t="s">
        <v>133</v>
      </c>
      <c r="G492" s="111"/>
      <c r="H492" s="111">
        <f>13489600+107900</f>
        <v>13597500</v>
      </c>
      <c r="I492" s="107">
        <f t="shared" si="53"/>
        <v>13597500</v>
      </c>
      <c r="J492" s="137"/>
      <c r="M492" s="122"/>
    </row>
    <row r="493" spans="1:10" ht="25.5">
      <c r="A493" s="2" t="s">
        <v>415</v>
      </c>
      <c r="B493" s="1" t="s">
        <v>300</v>
      </c>
      <c r="C493" s="1" t="s">
        <v>84</v>
      </c>
      <c r="D493" s="1" t="s">
        <v>59</v>
      </c>
      <c r="E493" s="1" t="s">
        <v>416</v>
      </c>
      <c r="F493" s="17"/>
      <c r="G493" s="111">
        <f>G494</f>
        <v>371178</v>
      </c>
      <c r="H493" s="111">
        <f>H494</f>
        <v>-64686</v>
      </c>
      <c r="I493" s="107">
        <f t="shared" si="53"/>
        <v>306492</v>
      </c>
      <c r="J493" s="137"/>
    </row>
    <row r="494" spans="1:12" ht="12.75">
      <c r="A494" s="7" t="s">
        <v>406</v>
      </c>
      <c r="B494" s="1" t="s">
        <v>300</v>
      </c>
      <c r="C494" s="1" t="s">
        <v>84</v>
      </c>
      <c r="D494" s="1" t="s">
        <v>59</v>
      </c>
      <c r="E494" s="1" t="s">
        <v>416</v>
      </c>
      <c r="F494" s="17" t="s">
        <v>405</v>
      </c>
      <c r="G494" s="111">
        <v>371178</v>
      </c>
      <c r="H494" s="111">
        <v>-64686</v>
      </c>
      <c r="I494" s="107">
        <f t="shared" si="53"/>
        <v>306492</v>
      </c>
      <c r="J494" s="137"/>
      <c r="L494" s="122"/>
    </row>
    <row r="495" spans="1:10" ht="12.75">
      <c r="A495" s="2" t="s">
        <v>147</v>
      </c>
      <c r="B495" s="1" t="s">
        <v>300</v>
      </c>
      <c r="C495" s="1" t="s">
        <v>84</v>
      </c>
      <c r="D495" s="1" t="s">
        <v>59</v>
      </c>
      <c r="E495" s="1" t="s">
        <v>148</v>
      </c>
      <c r="F495" s="17"/>
      <c r="G495" s="111">
        <f>G496</f>
        <v>309000</v>
      </c>
      <c r="H495" s="111">
        <f>H496</f>
        <v>0</v>
      </c>
      <c r="I495" s="107">
        <f t="shared" si="53"/>
        <v>309000</v>
      </c>
      <c r="J495" s="137"/>
    </row>
    <row r="496" spans="1:10" ht="25.5">
      <c r="A496" s="2" t="s">
        <v>404</v>
      </c>
      <c r="B496" s="1" t="s">
        <v>300</v>
      </c>
      <c r="C496" s="1" t="s">
        <v>84</v>
      </c>
      <c r="D496" s="1" t="s">
        <v>59</v>
      </c>
      <c r="E496" s="1" t="s">
        <v>284</v>
      </c>
      <c r="F496" s="17"/>
      <c r="G496" s="111">
        <f>G497</f>
        <v>309000</v>
      </c>
      <c r="H496" s="111">
        <f>H497</f>
        <v>0</v>
      </c>
      <c r="I496" s="107">
        <f t="shared" si="53"/>
        <v>309000</v>
      </c>
      <c r="J496" s="137"/>
    </row>
    <row r="497" spans="1:12" ht="12.75">
      <c r="A497" s="7" t="s">
        <v>406</v>
      </c>
      <c r="B497" s="1" t="s">
        <v>300</v>
      </c>
      <c r="C497" s="1" t="s">
        <v>84</v>
      </c>
      <c r="D497" s="1" t="s">
        <v>59</v>
      </c>
      <c r="E497" s="1" t="s">
        <v>284</v>
      </c>
      <c r="F497" s="17" t="s">
        <v>405</v>
      </c>
      <c r="G497" s="111">
        <v>309000</v>
      </c>
      <c r="H497" s="111"/>
      <c r="I497" s="107">
        <f t="shared" si="53"/>
        <v>309000</v>
      </c>
      <c r="J497" s="137"/>
      <c r="L497" s="122"/>
    </row>
    <row r="498" spans="1:10" ht="12.75">
      <c r="A498" s="2"/>
      <c r="B498" s="1"/>
      <c r="C498" s="1"/>
      <c r="D498" s="1"/>
      <c r="E498" s="1"/>
      <c r="F498" s="17"/>
      <c r="G498" s="111"/>
      <c r="H498" s="111"/>
      <c r="I498" s="111"/>
      <c r="J498" s="136"/>
    </row>
    <row r="499" spans="1:10" ht="15.75">
      <c r="A499" s="34" t="s">
        <v>22</v>
      </c>
      <c r="B499" s="41" t="s">
        <v>300</v>
      </c>
      <c r="C499" s="41" t="s">
        <v>88</v>
      </c>
      <c r="D499" s="41"/>
      <c r="E499" s="41"/>
      <c r="F499" s="44"/>
      <c r="G499" s="108">
        <f>G500+G505+G527+G539</f>
        <v>12811072</v>
      </c>
      <c r="H499" s="108">
        <f>H500+H505+H527+H539</f>
        <v>-1000</v>
      </c>
      <c r="I499" s="108">
        <f>SUM(G499:H499)</f>
        <v>12810072</v>
      </c>
      <c r="J499" s="133"/>
    </row>
    <row r="500" spans="1:10" ht="12.75">
      <c r="A500" s="4" t="s">
        <v>23</v>
      </c>
      <c r="B500" s="19" t="s">
        <v>300</v>
      </c>
      <c r="C500" s="19" t="s">
        <v>88</v>
      </c>
      <c r="D500" s="19" t="s">
        <v>59</v>
      </c>
      <c r="E500" s="19"/>
      <c r="F500" s="37"/>
      <c r="G500" s="109">
        <f aca="true" t="shared" si="54" ref="G500:H502">G501</f>
        <v>2700000</v>
      </c>
      <c r="H500" s="109">
        <f t="shared" si="54"/>
        <v>0</v>
      </c>
      <c r="I500" s="109">
        <f>SUM(G500:H500)</f>
        <v>2700000</v>
      </c>
      <c r="J500" s="134"/>
    </row>
    <row r="501" spans="1:10" ht="12.75" customHeight="1">
      <c r="A501" s="13" t="s">
        <v>24</v>
      </c>
      <c r="B501" s="14" t="s">
        <v>300</v>
      </c>
      <c r="C501" s="14" t="s">
        <v>88</v>
      </c>
      <c r="D501" s="14" t="s">
        <v>59</v>
      </c>
      <c r="E501" s="14" t="s">
        <v>0</v>
      </c>
      <c r="F501" s="21"/>
      <c r="G501" s="111">
        <f t="shared" si="54"/>
        <v>2700000</v>
      </c>
      <c r="H501" s="111">
        <f t="shared" si="54"/>
        <v>0</v>
      </c>
      <c r="I501" s="107">
        <f>SUM(G501:H501)</f>
        <v>2700000</v>
      </c>
      <c r="J501" s="137"/>
    </row>
    <row r="502" spans="1:10" ht="25.5" customHeight="1">
      <c r="A502" s="13" t="s">
        <v>25</v>
      </c>
      <c r="B502" s="14" t="s">
        <v>300</v>
      </c>
      <c r="C502" s="14" t="s">
        <v>88</v>
      </c>
      <c r="D502" s="14" t="s">
        <v>59</v>
      </c>
      <c r="E502" s="14" t="s">
        <v>26</v>
      </c>
      <c r="F502" s="21"/>
      <c r="G502" s="111">
        <f t="shared" si="54"/>
        <v>2700000</v>
      </c>
      <c r="H502" s="111">
        <f t="shared" si="54"/>
        <v>0</v>
      </c>
      <c r="I502" s="107">
        <f>SUM(G502:H502)</f>
        <v>2700000</v>
      </c>
      <c r="J502" s="137"/>
    </row>
    <row r="503" spans="1:10" ht="12.75">
      <c r="A503" s="13" t="s">
        <v>83</v>
      </c>
      <c r="B503" s="14" t="s">
        <v>300</v>
      </c>
      <c r="C503" s="14" t="s">
        <v>88</v>
      </c>
      <c r="D503" s="14" t="s">
        <v>59</v>
      </c>
      <c r="E503" s="14" t="s">
        <v>26</v>
      </c>
      <c r="F503" s="21" t="s">
        <v>56</v>
      </c>
      <c r="G503" s="111">
        <v>2700000</v>
      </c>
      <c r="H503" s="111"/>
      <c r="I503" s="107">
        <f>SUM(G503:H503)</f>
        <v>2700000</v>
      </c>
      <c r="J503" s="137"/>
    </row>
    <row r="504" spans="1:10" ht="12.75">
      <c r="A504" s="4"/>
      <c r="B504" s="1"/>
      <c r="C504" s="1"/>
      <c r="D504" s="1"/>
      <c r="E504" s="1"/>
      <c r="F504" s="17"/>
      <c r="G504" s="111"/>
      <c r="H504" s="111"/>
      <c r="I504" s="111"/>
      <c r="J504" s="136"/>
    </row>
    <row r="505" spans="1:10" ht="12.75">
      <c r="A505" s="4" t="s">
        <v>27</v>
      </c>
      <c r="B505" s="19" t="s">
        <v>300</v>
      </c>
      <c r="C505" s="19" t="s">
        <v>88</v>
      </c>
      <c r="D505" s="19" t="s">
        <v>41</v>
      </c>
      <c r="E505" s="1"/>
      <c r="F505" s="17"/>
      <c r="G505" s="109">
        <f>+G506+G509+G521+G518</f>
        <v>5700372</v>
      </c>
      <c r="H505" s="109">
        <f>+H506+H509+H521+H518</f>
        <v>-1000</v>
      </c>
      <c r="I505" s="109">
        <f>+I506+I509+I521+I518</f>
        <v>5699372</v>
      </c>
      <c r="J505" s="134"/>
    </row>
    <row r="506" spans="1:10" ht="12.75">
      <c r="A506" s="2" t="s">
        <v>392</v>
      </c>
      <c r="B506" s="1" t="s">
        <v>300</v>
      </c>
      <c r="C506" s="1" t="s">
        <v>88</v>
      </c>
      <c r="D506" s="1" t="s">
        <v>41</v>
      </c>
      <c r="E506" s="1" t="s">
        <v>393</v>
      </c>
      <c r="F506" s="17"/>
      <c r="G506" s="107">
        <f>G507</f>
        <v>120712</v>
      </c>
      <c r="H506" s="107">
        <f>H507</f>
        <v>0</v>
      </c>
      <c r="I506" s="111">
        <f>SUM(G506:H506)</f>
        <v>120712</v>
      </c>
      <c r="J506" s="136"/>
    </row>
    <row r="507" spans="1:10" ht="25.5">
      <c r="A507" s="2" t="s">
        <v>446</v>
      </c>
      <c r="B507" s="1" t="s">
        <v>300</v>
      </c>
      <c r="C507" s="1" t="s">
        <v>88</v>
      </c>
      <c r="D507" s="1" t="s">
        <v>41</v>
      </c>
      <c r="E507" s="1" t="s">
        <v>437</v>
      </c>
      <c r="F507" s="17"/>
      <c r="G507" s="107">
        <f>G508</f>
        <v>120712</v>
      </c>
      <c r="H507" s="107">
        <f>H508</f>
        <v>0</v>
      </c>
      <c r="I507" s="111">
        <f>SUM(G507:H507)</f>
        <v>120712</v>
      </c>
      <c r="J507" s="136"/>
    </row>
    <row r="508" spans="1:10" ht="38.25">
      <c r="A508" s="2" t="s">
        <v>438</v>
      </c>
      <c r="B508" s="1" t="s">
        <v>300</v>
      </c>
      <c r="C508" s="1" t="s">
        <v>88</v>
      </c>
      <c r="D508" s="1" t="s">
        <v>41</v>
      </c>
      <c r="E508" s="1" t="s">
        <v>437</v>
      </c>
      <c r="F508" s="17" t="s">
        <v>176</v>
      </c>
      <c r="G508" s="107">
        <v>120712</v>
      </c>
      <c r="H508" s="107"/>
      <c r="I508" s="111">
        <f>SUM(G508:H508)</f>
        <v>120712</v>
      </c>
      <c r="J508" s="136"/>
    </row>
    <row r="509" spans="1:10" ht="12.75">
      <c r="A509" s="7" t="s">
        <v>29</v>
      </c>
      <c r="B509" s="1" t="s">
        <v>300</v>
      </c>
      <c r="C509" s="1" t="s">
        <v>88</v>
      </c>
      <c r="D509" s="1" t="s">
        <v>41</v>
      </c>
      <c r="E509" s="1" t="s">
        <v>30</v>
      </c>
      <c r="F509" s="17"/>
      <c r="G509" s="111">
        <f>G510+G513+G516</f>
        <v>5098800</v>
      </c>
      <c r="H509" s="111">
        <f>H510+H513+H516</f>
        <v>-1000</v>
      </c>
      <c r="I509" s="107">
        <f aca="true" t="shared" si="55" ref="I509:I525">SUM(G509:H509)</f>
        <v>5097800</v>
      </c>
      <c r="J509" s="137"/>
    </row>
    <row r="510" spans="1:10" ht="12.75">
      <c r="A510" s="2" t="s">
        <v>28</v>
      </c>
      <c r="B510" s="1" t="s">
        <v>300</v>
      </c>
      <c r="C510" s="1" t="s">
        <v>88</v>
      </c>
      <c r="D510" s="1" t="s">
        <v>41</v>
      </c>
      <c r="E510" s="1" t="s">
        <v>31</v>
      </c>
      <c r="F510" s="17"/>
      <c r="G510" s="111">
        <f>SUM(G511:G512)</f>
        <v>169600</v>
      </c>
      <c r="H510" s="111">
        <f>SUM(H511:H512)</f>
        <v>-1000</v>
      </c>
      <c r="I510" s="107">
        <f t="shared" si="55"/>
        <v>168600</v>
      </c>
      <c r="J510" s="137"/>
    </row>
    <row r="511" spans="1:10" ht="12.75">
      <c r="A511" s="2" t="s">
        <v>10</v>
      </c>
      <c r="B511" s="1" t="s">
        <v>300</v>
      </c>
      <c r="C511" s="1" t="s">
        <v>88</v>
      </c>
      <c r="D511" s="1" t="s">
        <v>41</v>
      </c>
      <c r="E511" s="1" t="s">
        <v>31</v>
      </c>
      <c r="F511" s="17" t="s">
        <v>56</v>
      </c>
      <c r="G511" s="111">
        <v>100000</v>
      </c>
      <c r="H511" s="111"/>
      <c r="I511" s="107">
        <f t="shared" si="55"/>
        <v>100000</v>
      </c>
      <c r="J511" s="137"/>
    </row>
    <row r="512" spans="1:10" ht="12.75">
      <c r="A512" s="2" t="s">
        <v>66</v>
      </c>
      <c r="B512" s="1" t="s">
        <v>300</v>
      </c>
      <c r="C512" s="1" t="s">
        <v>88</v>
      </c>
      <c r="D512" s="1" t="s">
        <v>41</v>
      </c>
      <c r="E512" s="1" t="s">
        <v>31</v>
      </c>
      <c r="F512" s="17" t="s">
        <v>36</v>
      </c>
      <c r="G512" s="111">
        <v>69600</v>
      </c>
      <c r="H512" s="111">
        <v>-1000</v>
      </c>
      <c r="I512" s="107">
        <f t="shared" si="55"/>
        <v>68600</v>
      </c>
      <c r="J512" s="137"/>
    </row>
    <row r="513" spans="1:10" ht="51.75" customHeight="1">
      <c r="A513" s="2" t="s">
        <v>202</v>
      </c>
      <c r="B513" s="1" t="s">
        <v>300</v>
      </c>
      <c r="C513" s="1" t="s">
        <v>88</v>
      </c>
      <c r="D513" s="1" t="s">
        <v>41</v>
      </c>
      <c r="E513" s="1" t="s">
        <v>182</v>
      </c>
      <c r="F513" s="17"/>
      <c r="G513" s="111">
        <f>G514</f>
        <v>96500</v>
      </c>
      <c r="H513" s="111">
        <f>H514</f>
        <v>0</v>
      </c>
      <c r="I513" s="107">
        <f t="shared" si="55"/>
        <v>96500</v>
      </c>
      <c r="J513" s="137"/>
    </row>
    <row r="514" spans="1:10" ht="51">
      <c r="A514" s="2" t="s">
        <v>203</v>
      </c>
      <c r="B514" s="1" t="s">
        <v>300</v>
      </c>
      <c r="C514" s="1" t="s">
        <v>88</v>
      </c>
      <c r="D514" s="1" t="s">
        <v>41</v>
      </c>
      <c r="E514" s="1" t="s">
        <v>183</v>
      </c>
      <c r="F514" s="17"/>
      <c r="G514" s="111">
        <f>SUM(G515:G515)</f>
        <v>96500</v>
      </c>
      <c r="H514" s="111">
        <f>SUM(H515:H515)</f>
        <v>0</v>
      </c>
      <c r="I514" s="107">
        <f t="shared" si="55"/>
        <v>96500</v>
      </c>
      <c r="J514" s="137"/>
    </row>
    <row r="515" spans="1:10" ht="12.75">
      <c r="A515" s="2" t="s">
        <v>67</v>
      </c>
      <c r="B515" s="1" t="s">
        <v>300</v>
      </c>
      <c r="C515" s="1" t="s">
        <v>88</v>
      </c>
      <c r="D515" s="1" t="s">
        <v>41</v>
      </c>
      <c r="E515" s="1" t="s">
        <v>183</v>
      </c>
      <c r="F515" s="17" t="s">
        <v>60</v>
      </c>
      <c r="G515" s="111">
        <v>96500</v>
      </c>
      <c r="H515" s="111"/>
      <c r="I515" s="107">
        <f t="shared" si="55"/>
        <v>96500</v>
      </c>
      <c r="J515" s="137"/>
    </row>
    <row r="516" spans="1:10" ht="25.5">
      <c r="A516" s="2" t="s">
        <v>62</v>
      </c>
      <c r="B516" s="1" t="s">
        <v>300</v>
      </c>
      <c r="C516" s="1" t="s">
        <v>88</v>
      </c>
      <c r="D516" s="1" t="s">
        <v>41</v>
      </c>
      <c r="E516" s="1" t="s">
        <v>63</v>
      </c>
      <c r="F516" s="17"/>
      <c r="G516" s="111">
        <f>SUM(G517)</f>
        <v>4832700</v>
      </c>
      <c r="H516" s="111">
        <f>SUM(H517)</f>
        <v>0</v>
      </c>
      <c r="I516" s="107">
        <f t="shared" si="55"/>
        <v>4832700</v>
      </c>
      <c r="J516" s="137"/>
    </row>
    <row r="517" spans="1:13" ht="12.75">
      <c r="A517" s="8" t="s">
        <v>10</v>
      </c>
      <c r="B517" s="1" t="s">
        <v>300</v>
      </c>
      <c r="C517" s="1" t="s">
        <v>88</v>
      </c>
      <c r="D517" s="1" t="s">
        <v>41</v>
      </c>
      <c r="E517" s="1" t="s">
        <v>63</v>
      </c>
      <c r="F517" s="17" t="s">
        <v>56</v>
      </c>
      <c r="G517" s="111">
        <v>4832700</v>
      </c>
      <c r="H517" s="111"/>
      <c r="I517" s="107">
        <f t="shared" si="55"/>
        <v>4832700</v>
      </c>
      <c r="J517" s="137"/>
      <c r="M517" s="122"/>
    </row>
    <row r="518" spans="1:10" ht="12.75">
      <c r="A518" s="2" t="s">
        <v>140</v>
      </c>
      <c r="B518" s="14" t="s">
        <v>300</v>
      </c>
      <c r="C518" s="14" t="s">
        <v>88</v>
      </c>
      <c r="D518" s="14" t="s">
        <v>41</v>
      </c>
      <c r="E518" s="14" t="s">
        <v>141</v>
      </c>
      <c r="F518" s="17"/>
      <c r="G518" s="111">
        <f>G519</f>
        <v>156060</v>
      </c>
      <c r="H518" s="111">
        <f>H519</f>
        <v>0</v>
      </c>
      <c r="I518" s="111">
        <f>SUM(G518:H518)</f>
        <v>156060</v>
      </c>
      <c r="J518" s="136"/>
    </row>
    <row r="519" spans="1:10" ht="38.25">
      <c r="A519" s="8" t="s">
        <v>440</v>
      </c>
      <c r="B519" s="14" t="s">
        <v>300</v>
      </c>
      <c r="C519" s="14" t="s">
        <v>88</v>
      </c>
      <c r="D519" s="14" t="s">
        <v>41</v>
      </c>
      <c r="E519" s="14" t="s">
        <v>439</v>
      </c>
      <c r="F519" s="17"/>
      <c r="G519" s="111">
        <f>G520</f>
        <v>156060</v>
      </c>
      <c r="H519" s="111">
        <f>H520</f>
        <v>0</v>
      </c>
      <c r="I519" s="111">
        <f>SUM(G519:H519)</f>
        <v>156060</v>
      </c>
      <c r="J519" s="136"/>
    </row>
    <row r="520" spans="1:10" ht="46.5" customHeight="1">
      <c r="A520" s="2" t="s">
        <v>175</v>
      </c>
      <c r="B520" s="14" t="s">
        <v>300</v>
      </c>
      <c r="C520" s="14" t="s">
        <v>88</v>
      </c>
      <c r="D520" s="14" t="s">
        <v>41</v>
      </c>
      <c r="E520" s="14" t="s">
        <v>439</v>
      </c>
      <c r="F520" s="17" t="s">
        <v>176</v>
      </c>
      <c r="G520" s="111">
        <v>156060</v>
      </c>
      <c r="H520" s="111"/>
      <c r="I520" s="111">
        <f>SUM(G520:H520)</f>
        <v>156060</v>
      </c>
      <c r="J520" s="136"/>
    </row>
    <row r="521" spans="1:10" ht="12.75">
      <c r="A521" s="2" t="s">
        <v>147</v>
      </c>
      <c r="B521" s="1" t="s">
        <v>300</v>
      </c>
      <c r="C521" s="1" t="s">
        <v>88</v>
      </c>
      <c r="D521" s="1" t="s">
        <v>41</v>
      </c>
      <c r="E521" s="1" t="s">
        <v>148</v>
      </c>
      <c r="F521" s="17"/>
      <c r="G521" s="111">
        <f>SUM(G522+G524)</f>
        <v>324800</v>
      </c>
      <c r="H521" s="111">
        <f>SUM(H522+H524)</f>
        <v>0</v>
      </c>
      <c r="I521" s="107">
        <f t="shared" si="55"/>
        <v>324800</v>
      </c>
      <c r="J521" s="137"/>
    </row>
    <row r="522" spans="1:10" ht="38.25" customHeight="1">
      <c r="A522" s="64" t="s">
        <v>353</v>
      </c>
      <c r="B522" s="1" t="s">
        <v>300</v>
      </c>
      <c r="C522" s="1" t="s">
        <v>88</v>
      </c>
      <c r="D522" s="1" t="s">
        <v>41</v>
      </c>
      <c r="E522" s="1" t="s">
        <v>213</v>
      </c>
      <c r="F522" s="17"/>
      <c r="G522" s="111">
        <f>G523</f>
        <v>244800</v>
      </c>
      <c r="H522" s="111">
        <f>H523</f>
        <v>0</v>
      </c>
      <c r="I522" s="107">
        <f t="shared" si="55"/>
        <v>244800</v>
      </c>
      <c r="J522" s="137"/>
    </row>
    <row r="523" spans="1:10" ht="30.75" customHeight="1">
      <c r="A523" s="65" t="s">
        <v>175</v>
      </c>
      <c r="B523" s="1" t="s">
        <v>300</v>
      </c>
      <c r="C523" s="1" t="s">
        <v>88</v>
      </c>
      <c r="D523" s="1" t="s">
        <v>41</v>
      </c>
      <c r="E523" s="1" t="s">
        <v>213</v>
      </c>
      <c r="F523" s="104" t="s">
        <v>176</v>
      </c>
      <c r="G523" s="111">
        <v>244800</v>
      </c>
      <c r="H523" s="111"/>
      <c r="I523" s="107">
        <f t="shared" si="55"/>
        <v>244800</v>
      </c>
      <c r="J523" s="137"/>
    </row>
    <row r="524" spans="1:10" ht="38.25">
      <c r="A524" s="8" t="s">
        <v>354</v>
      </c>
      <c r="B524" s="14" t="s">
        <v>300</v>
      </c>
      <c r="C524" s="14" t="s">
        <v>88</v>
      </c>
      <c r="D524" s="14" t="s">
        <v>41</v>
      </c>
      <c r="E524" s="14" t="s">
        <v>214</v>
      </c>
      <c r="F524" s="17"/>
      <c r="G524" s="111">
        <f>G525</f>
        <v>80000</v>
      </c>
      <c r="H524" s="111">
        <f>H525</f>
        <v>0</v>
      </c>
      <c r="I524" s="107">
        <f t="shared" si="55"/>
        <v>80000</v>
      </c>
      <c r="J524" s="137"/>
    </row>
    <row r="525" spans="1:10" ht="12.75">
      <c r="A525" s="13" t="s">
        <v>83</v>
      </c>
      <c r="B525" s="14" t="s">
        <v>300</v>
      </c>
      <c r="C525" s="14" t="s">
        <v>88</v>
      </c>
      <c r="D525" s="14" t="s">
        <v>41</v>
      </c>
      <c r="E525" s="14" t="s">
        <v>214</v>
      </c>
      <c r="F525" s="17" t="s">
        <v>56</v>
      </c>
      <c r="G525" s="111">
        <v>80000</v>
      </c>
      <c r="H525" s="111"/>
      <c r="I525" s="107">
        <f t="shared" si="55"/>
        <v>80000</v>
      </c>
      <c r="J525" s="137"/>
    </row>
    <row r="526" spans="1:10" ht="12.75">
      <c r="A526" s="2"/>
      <c r="B526" s="1"/>
      <c r="C526" s="1"/>
      <c r="D526" s="1"/>
      <c r="E526" s="1"/>
      <c r="F526" s="17"/>
      <c r="G526" s="111"/>
      <c r="H526" s="111"/>
      <c r="I526" s="111"/>
      <c r="J526" s="136"/>
    </row>
    <row r="527" spans="1:10" ht="12.75">
      <c r="A527" s="23" t="s">
        <v>64</v>
      </c>
      <c r="B527" s="18" t="s">
        <v>300</v>
      </c>
      <c r="C527" s="18" t="s">
        <v>88</v>
      </c>
      <c r="D527" s="18" t="s">
        <v>54</v>
      </c>
      <c r="E527" s="1"/>
      <c r="F527" s="17"/>
      <c r="G527" s="109">
        <f>+G528+G535</f>
        <v>3485000</v>
      </c>
      <c r="H527" s="109">
        <f>+H528+H535</f>
        <v>0</v>
      </c>
      <c r="I527" s="109">
        <f>SUM(G527:H527)</f>
        <v>3485000</v>
      </c>
      <c r="J527" s="134"/>
    </row>
    <row r="528" spans="1:10" ht="12.75">
      <c r="A528" s="7" t="s">
        <v>29</v>
      </c>
      <c r="B528" s="87" t="s">
        <v>300</v>
      </c>
      <c r="C528" s="87" t="s">
        <v>88</v>
      </c>
      <c r="D528" s="87" t="s">
        <v>54</v>
      </c>
      <c r="E528" s="1" t="s">
        <v>30</v>
      </c>
      <c r="F528" s="17"/>
      <c r="G528" s="110">
        <f>G529+G532</f>
        <v>3455000</v>
      </c>
      <c r="H528" s="110">
        <f>H529+H532</f>
        <v>0</v>
      </c>
      <c r="I528" s="107">
        <f aca="true" t="shared" si="56" ref="I528:I537">SUM(G528:H528)</f>
        <v>3455000</v>
      </c>
      <c r="J528" s="137"/>
    </row>
    <row r="529" spans="1:10" ht="38.25">
      <c r="A529" s="2" t="s">
        <v>341</v>
      </c>
      <c r="B529" s="3" t="s">
        <v>300</v>
      </c>
      <c r="C529" s="3" t="s">
        <v>88</v>
      </c>
      <c r="D529" s="3" t="s">
        <v>54</v>
      </c>
      <c r="E529" s="3" t="s">
        <v>342</v>
      </c>
      <c r="F529" s="17"/>
      <c r="G529" s="110">
        <f>G530</f>
        <v>349600</v>
      </c>
      <c r="H529" s="110">
        <f>H530</f>
        <v>0</v>
      </c>
      <c r="I529" s="107">
        <f t="shared" si="56"/>
        <v>349600</v>
      </c>
      <c r="J529" s="137"/>
    </row>
    <row r="530" spans="1:10" ht="51">
      <c r="A530" s="2" t="s">
        <v>343</v>
      </c>
      <c r="B530" s="3" t="s">
        <v>300</v>
      </c>
      <c r="C530" s="3" t="s">
        <v>88</v>
      </c>
      <c r="D530" s="3" t="s">
        <v>54</v>
      </c>
      <c r="E530" s="3" t="s">
        <v>344</v>
      </c>
      <c r="F530" s="17"/>
      <c r="G530" s="110">
        <f>G531</f>
        <v>349600</v>
      </c>
      <c r="H530" s="110">
        <f>H531</f>
        <v>0</v>
      </c>
      <c r="I530" s="107">
        <f t="shared" si="56"/>
        <v>349600</v>
      </c>
      <c r="J530" s="137"/>
    </row>
    <row r="531" spans="1:10" ht="12.75">
      <c r="A531" s="8" t="s">
        <v>10</v>
      </c>
      <c r="B531" s="3" t="s">
        <v>300</v>
      </c>
      <c r="C531" s="3" t="s">
        <v>88</v>
      </c>
      <c r="D531" s="3" t="s">
        <v>54</v>
      </c>
      <c r="E531" s="3" t="s">
        <v>344</v>
      </c>
      <c r="F531" s="17" t="s">
        <v>56</v>
      </c>
      <c r="G531" s="110">
        <v>349600</v>
      </c>
      <c r="H531" s="110"/>
      <c r="I531" s="107">
        <f t="shared" si="56"/>
        <v>349600</v>
      </c>
      <c r="J531" s="137"/>
    </row>
    <row r="532" spans="1:10" ht="51">
      <c r="A532" s="7" t="s">
        <v>199</v>
      </c>
      <c r="B532" s="87" t="s">
        <v>300</v>
      </c>
      <c r="C532" s="87" t="s">
        <v>88</v>
      </c>
      <c r="D532" s="87" t="s">
        <v>54</v>
      </c>
      <c r="E532" s="1" t="s">
        <v>198</v>
      </c>
      <c r="F532" s="17"/>
      <c r="G532" s="110">
        <f>+G533</f>
        <v>3105400</v>
      </c>
      <c r="H532" s="110">
        <f>+H533</f>
        <v>0</v>
      </c>
      <c r="I532" s="107">
        <f t="shared" si="56"/>
        <v>3105400</v>
      </c>
      <c r="J532" s="137"/>
    </row>
    <row r="533" spans="1:10" ht="63.75">
      <c r="A533" s="7" t="s">
        <v>200</v>
      </c>
      <c r="B533" s="87" t="s">
        <v>300</v>
      </c>
      <c r="C533" s="87" t="s">
        <v>88</v>
      </c>
      <c r="D533" s="87" t="s">
        <v>54</v>
      </c>
      <c r="E533" s="1" t="s">
        <v>169</v>
      </c>
      <c r="F533" s="17"/>
      <c r="G533" s="110">
        <f>SUM(G534:G534)</f>
        <v>3105400</v>
      </c>
      <c r="H533" s="110">
        <f>SUM(H534:H534)</f>
        <v>0</v>
      </c>
      <c r="I533" s="107">
        <f t="shared" si="56"/>
        <v>3105400</v>
      </c>
      <c r="J533" s="137"/>
    </row>
    <row r="534" spans="1:13" ht="12.75">
      <c r="A534" s="8" t="s">
        <v>10</v>
      </c>
      <c r="B534" s="87" t="s">
        <v>300</v>
      </c>
      <c r="C534" s="87" t="s">
        <v>88</v>
      </c>
      <c r="D534" s="87" t="s">
        <v>54</v>
      </c>
      <c r="E534" s="1" t="s">
        <v>169</v>
      </c>
      <c r="F534" s="17" t="s">
        <v>56</v>
      </c>
      <c r="G534" s="110">
        <v>3105400</v>
      </c>
      <c r="H534" s="110"/>
      <c r="I534" s="107">
        <f t="shared" si="56"/>
        <v>3105400</v>
      </c>
      <c r="J534" s="137"/>
      <c r="K534" s="122"/>
      <c r="M534" s="122"/>
    </row>
    <row r="535" spans="1:10" ht="12.75">
      <c r="A535" s="2" t="s">
        <v>147</v>
      </c>
      <c r="B535" s="1" t="s">
        <v>300</v>
      </c>
      <c r="C535" s="1" t="s">
        <v>88</v>
      </c>
      <c r="D535" s="1" t="s">
        <v>54</v>
      </c>
      <c r="E535" s="1" t="s">
        <v>148</v>
      </c>
      <c r="F535" s="40"/>
      <c r="G535" s="107">
        <f>SUM(G536)</f>
        <v>30000</v>
      </c>
      <c r="H535" s="107">
        <f>SUM(H536)</f>
        <v>0</v>
      </c>
      <c r="I535" s="107">
        <f t="shared" si="56"/>
        <v>30000</v>
      </c>
      <c r="J535" s="137"/>
    </row>
    <row r="536" spans="1:10" ht="54" customHeight="1">
      <c r="A536" s="2" t="s">
        <v>224</v>
      </c>
      <c r="B536" s="1" t="s">
        <v>300</v>
      </c>
      <c r="C536" s="1" t="s">
        <v>88</v>
      </c>
      <c r="D536" s="1" t="s">
        <v>54</v>
      </c>
      <c r="E536" s="1" t="s">
        <v>225</v>
      </c>
      <c r="F536" s="40"/>
      <c r="G536" s="107">
        <f>SUM(G537)</f>
        <v>30000</v>
      </c>
      <c r="H536" s="107">
        <f>SUM(H537)</f>
        <v>0</v>
      </c>
      <c r="I536" s="107">
        <f t="shared" si="56"/>
        <v>30000</v>
      </c>
      <c r="J536" s="137"/>
    </row>
    <row r="537" spans="1:10" ht="12.75" customHeight="1">
      <c r="A537" s="15" t="s">
        <v>134</v>
      </c>
      <c r="B537" s="14" t="s">
        <v>300</v>
      </c>
      <c r="C537" s="14" t="s">
        <v>88</v>
      </c>
      <c r="D537" s="14" t="s">
        <v>54</v>
      </c>
      <c r="E537" s="1" t="s">
        <v>225</v>
      </c>
      <c r="F537" s="21" t="s">
        <v>133</v>
      </c>
      <c r="G537" s="107">
        <v>30000</v>
      </c>
      <c r="H537" s="107"/>
      <c r="I537" s="107">
        <f t="shared" si="56"/>
        <v>30000</v>
      </c>
      <c r="J537" s="137"/>
    </row>
    <row r="538" spans="1:10" ht="12.75" customHeight="1">
      <c r="A538" s="15"/>
      <c r="B538" s="14"/>
      <c r="C538" s="14"/>
      <c r="D538" s="14"/>
      <c r="E538" s="1"/>
      <c r="F538" s="21"/>
      <c r="G538" s="107"/>
      <c r="H538" s="107"/>
      <c r="I538" s="107"/>
      <c r="J538" s="137"/>
    </row>
    <row r="539" spans="1:10" ht="12.75">
      <c r="A539" s="23" t="s">
        <v>256</v>
      </c>
      <c r="B539" s="19" t="s">
        <v>300</v>
      </c>
      <c r="C539" s="19" t="s">
        <v>88</v>
      </c>
      <c r="D539" s="19" t="s">
        <v>17</v>
      </c>
      <c r="E539" s="19"/>
      <c r="F539" s="37"/>
      <c r="G539" s="109">
        <f aca="true" t="shared" si="57" ref="G539:H542">+G540</f>
        <v>925700</v>
      </c>
      <c r="H539" s="109">
        <f t="shared" si="57"/>
        <v>0</v>
      </c>
      <c r="I539" s="109">
        <f>SUM(G539:H539)</f>
        <v>925700</v>
      </c>
      <c r="J539" s="134"/>
    </row>
    <row r="540" spans="1:10" ht="12.75" customHeight="1">
      <c r="A540" s="2" t="s">
        <v>128</v>
      </c>
      <c r="B540" s="14" t="s">
        <v>300</v>
      </c>
      <c r="C540" s="14" t="s">
        <v>88</v>
      </c>
      <c r="D540" s="14" t="s">
        <v>17</v>
      </c>
      <c r="E540" s="1" t="s">
        <v>42</v>
      </c>
      <c r="F540" s="21"/>
      <c r="G540" s="107">
        <f t="shared" si="57"/>
        <v>925700</v>
      </c>
      <c r="H540" s="107">
        <f t="shared" si="57"/>
        <v>0</v>
      </c>
      <c r="I540" s="107">
        <f>SUM(G540:H540)</f>
        <v>925700</v>
      </c>
      <c r="J540" s="137"/>
    </row>
    <row r="541" spans="1:10" ht="51">
      <c r="A541" s="2" t="s">
        <v>292</v>
      </c>
      <c r="B541" s="14" t="s">
        <v>300</v>
      </c>
      <c r="C541" s="14" t="s">
        <v>88</v>
      </c>
      <c r="D541" s="14" t="s">
        <v>17</v>
      </c>
      <c r="E541" s="1" t="s">
        <v>45</v>
      </c>
      <c r="F541" s="21"/>
      <c r="G541" s="107">
        <f t="shared" si="57"/>
        <v>925700</v>
      </c>
      <c r="H541" s="107">
        <f t="shared" si="57"/>
        <v>0</v>
      </c>
      <c r="I541" s="107">
        <f>SUM(G541:H541)</f>
        <v>925700</v>
      </c>
      <c r="J541" s="137"/>
    </row>
    <row r="542" spans="1:10" ht="38.25">
      <c r="A542" s="2" t="s">
        <v>241</v>
      </c>
      <c r="B542" s="14" t="s">
        <v>300</v>
      </c>
      <c r="C542" s="14" t="s">
        <v>88</v>
      </c>
      <c r="D542" s="14" t="s">
        <v>17</v>
      </c>
      <c r="E542" s="1" t="s">
        <v>51</v>
      </c>
      <c r="F542" s="21"/>
      <c r="G542" s="107">
        <f t="shared" si="57"/>
        <v>925700</v>
      </c>
      <c r="H542" s="107">
        <f t="shared" si="57"/>
        <v>0</v>
      </c>
      <c r="I542" s="107">
        <f>SUM(G542:H542)</f>
        <v>925700</v>
      </c>
      <c r="J542" s="137"/>
    </row>
    <row r="543" spans="1:10" ht="12.75" customHeight="1">
      <c r="A543" s="15" t="s">
        <v>134</v>
      </c>
      <c r="B543" s="14" t="s">
        <v>300</v>
      </c>
      <c r="C543" s="14" t="s">
        <v>88</v>
      </c>
      <c r="D543" s="14" t="s">
        <v>17</v>
      </c>
      <c r="E543" s="1" t="s">
        <v>51</v>
      </c>
      <c r="F543" s="21" t="s">
        <v>133</v>
      </c>
      <c r="G543" s="107">
        <v>925700</v>
      </c>
      <c r="H543" s="107"/>
      <c r="I543" s="107">
        <f>SUM(G543:H543)</f>
        <v>925700</v>
      </c>
      <c r="J543" s="137"/>
    </row>
    <row r="544" spans="1:10" ht="12.75">
      <c r="A544" s="15"/>
      <c r="B544" s="14"/>
      <c r="C544" s="14"/>
      <c r="D544" s="14"/>
      <c r="E544" s="1"/>
      <c r="F544" s="21"/>
      <c r="G544" s="107"/>
      <c r="H544" s="107"/>
      <c r="I544" s="107"/>
      <c r="J544" s="137"/>
    </row>
    <row r="545" spans="1:10" ht="31.5">
      <c r="A545" s="34" t="s">
        <v>69</v>
      </c>
      <c r="B545" s="41" t="s">
        <v>300</v>
      </c>
      <c r="C545" s="41" t="s">
        <v>188</v>
      </c>
      <c r="D545" s="41"/>
      <c r="E545" s="41"/>
      <c r="F545" s="44"/>
      <c r="G545" s="108">
        <f aca="true" t="shared" si="58" ref="G545:H548">+G546</f>
        <v>700000</v>
      </c>
      <c r="H545" s="108">
        <f t="shared" si="58"/>
        <v>0</v>
      </c>
      <c r="I545" s="108">
        <f>SUM(G545:H545)</f>
        <v>700000</v>
      </c>
      <c r="J545" s="133"/>
    </row>
    <row r="546" spans="1:10" ht="25.5">
      <c r="A546" s="23" t="s">
        <v>189</v>
      </c>
      <c r="B546" s="19" t="s">
        <v>300</v>
      </c>
      <c r="C546" s="19" t="s">
        <v>188</v>
      </c>
      <c r="D546" s="19" t="s">
        <v>59</v>
      </c>
      <c r="E546" s="19"/>
      <c r="F546" s="37"/>
      <c r="G546" s="109">
        <f t="shared" si="58"/>
        <v>700000</v>
      </c>
      <c r="H546" s="109">
        <f t="shared" si="58"/>
        <v>0</v>
      </c>
      <c r="I546" s="109">
        <f>SUM(G546:H546)</f>
        <v>700000</v>
      </c>
      <c r="J546" s="134"/>
    </row>
    <row r="547" spans="1:10" ht="12.75">
      <c r="A547" s="46" t="s">
        <v>70</v>
      </c>
      <c r="B547" s="47" t="s">
        <v>300</v>
      </c>
      <c r="C547" s="47" t="s">
        <v>188</v>
      </c>
      <c r="D547" s="47" t="s">
        <v>59</v>
      </c>
      <c r="E547" s="47" t="s">
        <v>71</v>
      </c>
      <c r="F547" s="48"/>
      <c r="G547" s="111">
        <f t="shared" si="58"/>
        <v>700000</v>
      </c>
      <c r="H547" s="111">
        <f t="shared" si="58"/>
        <v>0</v>
      </c>
      <c r="I547" s="107">
        <f>SUM(G547:H547)</f>
        <v>700000</v>
      </c>
      <c r="J547" s="137"/>
    </row>
    <row r="548" spans="1:10" ht="12.75">
      <c r="A548" s="2" t="s">
        <v>2</v>
      </c>
      <c r="B548" s="47" t="s">
        <v>300</v>
      </c>
      <c r="C548" s="47" t="s">
        <v>188</v>
      </c>
      <c r="D548" s="47" t="s">
        <v>59</v>
      </c>
      <c r="E548" s="47" t="s">
        <v>3</v>
      </c>
      <c r="F548" s="48"/>
      <c r="G548" s="111">
        <f t="shared" si="58"/>
        <v>700000</v>
      </c>
      <c r="H548" s="111">
        <f t="shared" si="58"/>
        <v>0</v>
      </c>
      <c r="I548" s="107">
        <f>SUM(G548:H548)</f>
        <v>700000</v>
      </c>
      <c r="J548" s="137"/>
    </row>
    <row r="549" spans="1:10" ht="12.75">
      <c r="A549" s="2" t="s">
        <v>66</v>
      </c>
      <c r="B549" s="47" t="s">
        <v>300</v>
      </c>
      <c r="C549" s="47" t="s">
        <v>188</v>
      </c>
      <c r="D549" s="47" t="s">
        <v>59</v>
      </c>
      <c r="E549" s="47" t="s">
        <v>3</v>
      </c>
      <c r="F549" s="48" t="s">
        <v>36</v>
      </c>
      <c r="G549" s="111">
        <v>700000</v>
      </c>
      <c r="H549" s="111"/>
      <c r="I549" s="107">
        <f>SUM(G549:H549)</f>
        <v>700000</v>
      </c>
      <c r="J549" s="137"/>
    </row>
    <row r="550" spans="1:10" ht="12.75">
      <c r="A550" s="15"/>
      <c r="B550" s="14"/>
      <c r="C550" s="14"/>
      <c r="D550" s="14"/>
      <c r="E550" s="1"/>
      <c r="F550" s="21"/>
      <c r="G550" s="107"/>
      <c r="H550" s="107"/>
      <c r="I550" s="107"/>
      <c r="J550" s="137"/>
    </row>
    <row r="551" spans="1:10" ht="63">
      <c r="A551" s="34" t="s">
        <v>192</v>
      </c>
      <c r="B551" s="41" t="s">
        <v>300</v>
      </c>
      <c r="C551" s="41" t="s">
        <v>86</v>
      </c>
      <c r="D551" s="41"/>
      <c r="E551" s="41"/>
      <c r="F551" s="44"/>
      <c r="G551" s="108">
        <f>SUM(G552+G562+G568)</f>
        <v>43191720</v>
      </c>
      <c r="H551" s="108">
        <f>SUM(H552+H562+H568)</f>
        <v>127273</v>
      </c>
      <c r="I551" s="108">
        <f>SUM(G551:H551)</f>
        <v>43318993</v>
      </c>
      <c r="J551" s="133"/>
    </row>
    <row r="552" spans="1:10" ht="38.25">
      <c r="A552" s="23" t="s">
        <v>193</v>
      </c>
      <c r="B552" s="19" t="s">
        <v>300</v>
      </c>
      <c r="C552" s="19" t="s">
        <v>86</v>
      </c>
      <c r="D552" s="19" t="s">
        <v>59</v>
      </c>
      <c r="E552" s="19"/>
      <c r="F552" s="37"/>
      <c r="G552" s="109">
        <f>+G553+G557</f>
        <v>5934200</v>
      </c>
      <c r="H552" s="109">
        <f>+H553+H557</f>
        <v>0</v>
      </c>
      <c r="I552" s="109">
        <f>+I553+I557</f>
        <v>5934200</v>
      </c>
      <c r="J552" s="134"/>
    </row>
    <row r="553" spans="1:10" ht="12.75">
      <c r="A553" s="7" t="s">
        <v>156</v>
      </c>
      <c r="B553" s="1" t="s">
        <v>300</v>
      </c>
      <c r="C553" s="1" t="s">
        <v>86</v>
      </c>
      <c r="D553" s="1" t="s">
        <v>59</v>
      </c>
      <c r="E553" s="1" t="s">
        <v>155</v>
      </c>
      <c r="F553" s="17"/>
      <c r="G553" s="111">
        <f>SUM(G554)</f>
        <v>3414800</v>
      </c>
      <c r="H553" s="111">
        <f>SUM(H554)</f>
        <v>0</v>
      </c>
      <c r="I553" s="107">
        <f aca="true" t="shared" si="59" ref="I553:I560">SUM(G553:H553)</f>
        <v>3414800</v>
      </c>
      <c r="J553" s="137"/>
    </row>
    <row r="554" spans="1:10" ht="12.75">
      <c r="A554" s="7" t="s">
        <v>156</v>
      </c>
      <c r="B554" s="1" t="s">
        <v>300</v>
      </c>
      <c r="C554" s="1" t="s">
        <v>86</v>
      </c>
      <c r="D554" s="1" t="s">
        <v>59</v>
      </c>
      <c r="E554" s="1" t="s">
        <v>157</v>
      </c>
      <c r="F554" s="17"/>
      <c r="G554" s="111">
        <f>G555</f>
        <v>3414800</v>
      </c>
      <c r="H554" s="111">
        <f>H555</f>
        <v>0</v>
      </c>
      <c r="I554" s="107">
        <f t="shared" si="59"/>
        <v>3414800</v>
      </c>
      <c r="J554" s="137"/>
    </row>
    <row r="555" spans="1:10" ht="25.5">
      <c r="A555" s="2" t="s">
        <v>160</v>
      </c>
      <c r="B555" s="1" t="s">
        <v>300</v>
      </c>
      <c r="C555" s="1" t="s">
        <v>86</v>
      </c>
      <c r="D555" s="1" t="s">
        <v>59</v>
      </c>
      <c r="E555" s="1" t="s">
        <v>161</v>
      </c>
      <c r="F555" s="17"/>
      <c r="G555" s="111">
        <f>G556</f>
        <v>3414800</v>
      </c>
      <c r="H555" s="111">
        <f>H556</f>
        <v>0</v>
      </c>
      <c r="I555" s="107">
        <f t="shared" si="59"/>
        <v>3414800</v>
      </c>
      <c r="J555" s="137"/>
    </row>
    <row r="556" spans="1:10" ht="12.75">
      <c r="A556" s="2" t="s">
        <v>158</v>
      </c>
      <c r="B556" s="1" t="s">
        <v>300</v>
      </c>
      <c r="C556" s="1" t="s">
        <v>86</v>
      </c>
      <c r="D556" s="1" t="s">
        <v>59</v>
      </c>
      <c r="E556" s="1" t="s">
        <v>161</v>
      </c>
      <c r="F556" s="17" t="s">
        <v>159</v>
      </c>
      <c r="G556" s="111">
        <v>3414800</v>
      </c>
      <c r="H556" s="111"/>
      <c r="I556" s="107">
        <f t="shared" si="59"/>
        <v>3414800</v>
      </c>
      <c r="J556" s="137"/>
    </row>
    <row r="557" spans="1:10" ht="12.75">
      <c r="A557" s="2" t="s">
        <v>140</v>
      </c>
      <c r="B557" s="1" t="s">
        <v>300</v>
      </c>
      <c r="C557" s="1" t="s">
        <v>86</v>
      </c>
      <c r="D557" s="1" t="s">
        <v>59</v>
      </c>
      <c r="E557" s="1" t="s">
        <v>141</v>
      </c>
      <c r="F557" s="17"/>
      <c r="G557" s="111">
        <f aca="true" t="shared" si="60" ref="G557:H559">+G558</f>
        <v>2519400</v>
      </c>
      <c r="H557" s="111">
        <f t="shared" si="60"/>
        <v>0</v>
      </c>
      <c r="I557" s="107">
        <f t="shared" si="59"/>
        <v>2519400</v>
      </c>
      <c r="J557" s="137"/>
    </row>
    <row r="558" spans="1:10" ht="51">
      <c r="A558" s="2" t="s">
        <v>432</v>
      </c>
      <c r="B558" s="1" t="s">
        <v>300</v>
      </c>
      <c r="C558" s="1" t="s">
        <v>86</v>
      </c>
      <c r="D558" s="1" t="s">
        <v>59</v>
      </c>
      <c r="E558" s="1" t="s">
        <v>194</v>
      </c>
      <c r="F558" s="17"/>
      <c r="G558" s="111">
        <f t="shared" si="60"/>
        <v>2519400</v>
      </c>
      <c r="H558" s="111">
        <f t="shared" si="60"/>
        <v>0</v>
      </c>
      <c r="I558" s="107">
        <f t="shared" si="59"/>
        <v>2519400</v>
      </c>
      <c r="J558" s="137"/>
    </row>
    <row r="559" spans="1:10" ht="25.5">
      <c r="A559" s="2" t="s">
        <v>196</v>
      </c>
      <c r="B559" s="1" t="s">
        <v>300</v>
      </c>
      <c r="C559" s="1" t="s">
        <v>86</v>
      </c>
      <c r="D559" s="1" t="s">
        <v>59</v>
      </c>
      <c r="E559" s="1" t="s">
        <v>195</v>
      </c>
      <c r="F559" s="17"/>
      <c r="G559" s="111">
        <f t="shared" si="60"/>
        <v>2519400</v>
      </c>
      <c r="H559" s="111">
        <f t="shared" si="60"/>
        <v>0</v>
      </c>
      <c r="I559" s="107">
        <f t="shared" si="59"/>
        <v>2519400</v>
      </c>
      <c r="J559" s="137"/>
    </row>
    <row r="560" spans="1:10" ht="12.75">
      <c r="A560" s="2" t="s">
        <v>158</v>
      </c>
      <c r="B560" s="1" t="s">
        <v>300</v>
      </c>
      <c r="C560" s="1" t="s">
        <v>86</v>
      </c>
      <c r="D560" s="1" t="s">
        <v>59</v>
      </c>
      <c r="E560" s="1" t="s">
        <v>195</v>
      </c>
      <c r="F560" s="17" t="s">
        <v>159</v>
      </c>
      <c r="G560" s="111">
        <v>2519400</v>
      </c>
      <c r="H560" s="111"/>
      <c r="I560" s="107">
        <f t="shared" si="59"/>
        <v>2519400</v>
      </c>
      <c r="J560" s="137"/>
    </row>
    <row r="561" spans="1:10" ht="12.75">
      <c r="A561" s="2"/>
      <c r="B561" s="1"/>
      <c r="C561" s="1"/>
      <c r="D561" s="1"/>
      <c r="E561" s="1"/>
      <c r="F561" s="17"/>
      <c r="G561" s="111"/>
      <c r="H561" s="111"/>
      <c r="I561" s="111"/>
      <c r="J561" s="136"/>
    </row>
    <row r="562" spans="1:10" ht="12.75">
      <c r="A562" s="23" t="s">
        <v>431</v>
      </c>
      <c r="B562" s="19" t="s">
        <v>300</v>
      </c>
      <c r="C562" s="19" t="s">
        <v>86</v>
      </c>
      <c r="D562" s="19" t="s">
        <v>55</v>
      </c>
      <c r="E562" s="19"/>
      <c r="F562" s="37"/>
      <c r="G562" s="109">
        <f>G563</f>
        <v>1516600</v>
      </c>
      <c r="H562" s="109">
        <f>H563</f>
        <v>0</v>
      </c>
      <c r="I562" s="109">
        <f>SUM(G562:H562)</f>
        <v>1516600</v>
      </c>
      <c r="J562" s="134"/>
    </row>
    <row r="563" spans="1:10" ht="12.75">
      <c r="A563" s="2" t="s">
        <v>140</v>
      </c>
      <c r="B563" s="1" t="s">
        <v>300</v>
      </c>
      <c r="C563" s="1" t="s">
        <v>86</v>
      </c>
      <c r="D563" s="1" t="s">
        <v>55</v>
      </c>
      <c r="E563" s="1" t="s">
        <v>141</v>
      </c>
      <c r="F563" s="17"/>
      <c r="G563" s="111">
        <f>G564</f>
        <v>1516600</v>
      </c>
      <c r="H563" s="111">
        <f>+H564</f>
        <v>0</v>
      </c>
      <c r="I563" s="107">
        <f>SUM(G563:H563)</f>
        <v>1516600</v>
      </c>
      <c r="J563" s="137"/>
    </row>
    <row r="564" spans="1:10" ht="51">
      <c r="A564" s="2" t="s">
        <v>432</v>
      </c>
      <c r="B564" s="1" t="s">
        <v>300</v>
      </c>
      <c r="C564" s="1" t="s">
        <v>86</v>
      </c>
      <c r="D564" s="1" t="s">
        <v>55</v>
      </c>
      <c r="E564" s="1" t="s">
        <v>194</v>
      </c>
      <c r="F564" s="17"/>
      <c r="G564" s="111">
        <f>G565</f>
        <v>1516600</v>
      </c>
      <c r="H564" s="111">
        <f>+H565</f>
        <v>0</v>
      </c>
      <c r="I564" s="107">
        <f>SUM(G564:H564)</f>
        <v>1516600</v>
      </c>
      <c r="J564" s="137"/>
    </row>
    <row r="565" spans="1:10" ht="25.5">
      <c r="A565" s="2" t="s">
        <v>434</v>
      </c>
      <c r="B565" s="1" t="s">
        <v>300</v>
      </c>
      <c r="C565" s="1" t="s">
        <v>86</v>
      </c>
      <c r="D565" s="1" t="s">
        <v>55</v>
      </c>
      <c r="E565" s="1" t="s">
        <v>433</v>
      </c>
      <c r="F565" s="17"/>
      <c r="G565" s="111">
        <f>G566</f>
        <v>1516600</v>
      </c>
      <c r="H565" s="111">
        <f>+H566</f>
        <v>0</v>
      </c>
      <c r="I565" s="107">
        <f>SUM(G565:H565)</f>
        <v>1516600</v>
      </c>
      <c r="J565" s="137"/>
    </row>
    <row r="566" spans="1:10" ht="12.75">
      <c r="A566" s="2" t="s">
        <v>436</v>
      </c>
      <c r="B566" s="1" t="s">
        <v>300</v>
      </c>
      <c r="C566" s="1" t="s">
        <v>86</v>
      </c>
      <c r="D566" s="1" t="s">
        <v>55</v>
      </c>
      <c r="E566" s="1" t="s">
        <v>433</v>
      </c>
      <c r="F566" s="17" t="s">
        <v>435</v>
      </c>
      <c r="G566" s="111">
        <v>1516600</v>
      </c>
      <c r="H566" s="111"/>
      <c r="I566" s="107">
        <f>SUM(G566:H566)</f>
        <v>1516600</v>
      </c>
      <c r="J566" s="137"/>
    </row>
    <row r="567" spans="1:10" ht="12.75">
      <c r="A567" s="2"/>
      <c r="B567" s="1"/>
      <c r="C567" s="1"/>
      <c r="D567" s="1"/>
      <c r="E567" s="1"/>
      <c r="F567" s="17"/>
      <c r="G567" s="111"/>
      <c r="H567" s="111"/>
      <c r="I567" s="107"/>
      <c r="J567" s="137"/>
    </row>
    <row r="568" spans="1:10" ht="12.75" customHeight="1">
      <c r="A568" s="23" t="s">
        <v>268</v>
      </c>
      <c r="B568" s="19" t="s">
        <v>300</v>
      </c>
      <c r="C568" s="19" t="s">
        <v>86</v>
      </c>
      <c r="D568" s="19" t="s">
        <v>41</v>
      </c>
      <c r="E568" s="19"/>
      <c r="F568" s="37"/>
      <c r="G568" s="109">
        <f aca="true" t="shared" si="61" ref="G568:H571">+G569</f>
        <v>35740920</v>
      </c>
      <c r="H568" s="109">
        <f t="shared" si="61"/>
        <v>127273</v>
      </c>
      <c r="I568" s="109">
        <f aca="true" t="shared" si="62" ref="I568:I574">SUM(G568:H568)</f>
        <v>35868193</v>
      </c>
      <c r="J568" s="134"/>
    </row>
    <row r="569" spans="1:10" ht="12.75">
      <c r="A569" s="2" t="s">
        <v>128</v>
      </c>
      <c r="B569" s="1" t="s">
        <v>300</v>
      </c>
      <c r="C569" s="1" t="s">
        <v>86</v>
      </c>
      <c r="D569" s="1" t="s">
        <v>41</v>
      </c>
      <c r="E569" s="1" t="s">
        <v>42</v>
      </c>
      <c r="F569" s="17"/>
      <c r="G569" s="111">
        <f t="shared" si="61"/>
        <v>35740920</v>
      </c>
      <c r="H569" s="111">
        <f t="shared" si="61"/>
        <v>127273</v>
      </c>
      <c r="I569" s="107">
        <f t="shared" si="62"/>
        <v>35868193</v>
      </c>
      <c r="J569" s="137"/>
    </row>
    <row r="570" spans="1:10" ht="39" customHeight="1">
      <c r="A570" s="2" t="s">
        <v>101</v>
      </c>
      <c r="B570" s="1" t="s">
        <v>300</v>
      </c>
      <c r="C570" s="1" t="s">
        <v>86</v>
      </c>
      <c r="D570" s="1" t="s">
        <v>41</v>
      </c>
      <c r="E570" s="1" t="s">
        <v>43</v>
      </c>
      <c r="F570" s="17"/>
      <c r="G570" s="111">
        <f t="shared" si="61"/>
        <v>35740920</v>
      </c>
      <c r="H570" s="111">
        <f>H571+H573</f>
        <v>127273</v>
      </c>
      <c r="I570" s="107">
        <f t="shared" si="62"/>
        <v>35868193</v>
      </c>
      <c r="J570" s="137"/>
    </row>
    <row r="571" spans="1:10" ht="12.75">
      <c r="A571" s="2" t="s">
        <v>288</v>
      </c>
      <c r="B571" s="1" t="s">
        <v>300</v>
      </c>
      <c r="C571" s="1" t="s">
        <v>86</v>
      </c>
      <c r="D571" s="1" t="s">
        <v>41</v>
      </c>
      <c r="E571" s="1" t="s">
        <v>287</v>
      </c>
      <c r="F571" s="17"/>
      <c r="G571" s="111">
        <f t="shared" si="61"/>
        <v>35740920</v>
      </c>
      <c r="H571" s="111">
        <f t="shared" si="61"/>
        <v>0</v>
      </c>
      <c r="I571" s="107">
        <f t="shared" si="62"/>
        <v>35740920</v>
      </c>
      <c r="J571" s="137"/>
    </row>
    <row r="572" spans="1:10" ht="12.75">
      <c r="A572" s="2" t="s">
        <v>129</v>
      </c>
      <c r="B572" s="1" t="s">
        <v>300</v>
      </c>
      <c r="C572" s="1" t="s">
        <v>86</v>
      </c>
      <c r="D572" s="1" t="s">
        <v>41</v>
      </c>
      <c r="E572" s="1" t="s">
        <v>287</v>
      </c>
      <c r="F572" s="17" t="s">
        <v>130</v>
      </c>
      <c r="G572" s="111">
        <v>35740920</v>
      </c>
      <c r="H572" s="111"/>
      <c r="I572" s="107">
        <f t="shared" si="62"/>
        <v>35740920</v>
      </c>
      <c r="J572" s="137"/>
    </row>
    <row r="573" spans="1:10" ht="25.5">
      <c r="A573" s="5" t="s">
        <v>345</v>
      </c>
      <c r="B573" s="3" t="s">
        <v>300</v>
      </c>
      <c r="C573" s="3" t="s">
        <v>86</v>
      </c>
      <c r="D573" s="3" t="s">
        <v>41</v>
      </c>
      <c r="E573" s="3" t="s">
        <v>346</v>
      </c>
      <c r="F573" s="17"/>
      <c r="G573" s="111"/>
      <c r="H573" s="111">
        <f>H574</f>
        <v>127273</v>
      </c>
      <c r="I573" s="107">
        <f t="shared" si="62"/>
        <v>127273</v>
      </c>
      <c r="J573" s="137"/>
    </row>
    <row r="574" spans="1:10" ht="12.75">
      <c r="A574" s="2" t="s">
        <v>129</v>
      </c>
      <c r="B574" s="3" t="s">
        <v>300</v>
      </c>
      <c r="C574" s="3" t="s">
        <v>86</v>
      </c>
      <c r="D574" s="3" t="s">
        <v>41</v>
      </c>
      <c r="E574" s="3" t="s">
        <v>346</v>
      </c>
      <c r="F574" s="17" t="s">
        <v>130</v>
      </c>
      <c r="G574" s="111"/>
      <c r="H574" s="111">
        <v>127273</v>
      </c>
      <c r="I574" s="107">
        <f t="shared" si="62"/>
        <v>127273</v>
      </c>
      <c r="J574" s="137"/>
    </row>
    <row r="575" spans="1:10" ht="12.75">
      <c r="A575" s="2"/>
      <c r="B575" s="61"/>
      <c r="C575" s="1"/>
      <c r="D575" s="1"/>
      <c r="E575" s="1"/>
      <c r="F575" s="17"/>
      <c r="G575" s="111"/>
      <c r="H575" s="111"/>
      <c r="I575" s="111"/>
      <c r="J575" s="136"/>
    </row>
    <row r="576" spans="1:13" ht="15">
      <c r="A576" s="93" t="s">
        <v>154</v>
      </c>
      <c r="B576" s="94"/>
      <c r="C576" s="95"/>
      <c r="D576" s="95"/>
      <c r="E576" s="95"/>
      <c r="F576" s="95"/>
      <c r="G576" s="112">
        <f>SUM(G231+G120+G18)</f>
        <v>506709051.65000004</v>
      </c>
      <c r="H576" s="112">
        <f>SUM(H231+H120+H18)</f>
        <v>54052587.48</v>
      </c>
      <c r="I576" s="112">
        <f>SUM(G576:H576)</f>
        <v>560761639.13</v>
      </c>
      <c r="J576" s="138" t="s">
        <v>445</v>
      </c>
      <c r="K576" s="123">
        <f>SUM(K17:K574)</f>
        <v>3993700.1</v>
      </c>
      <c r="L576" s="123">
        <f>SUM(L17:L574)</f>
        <v>3993700.1</v>
      </c>
      <c r="M576" s="122"/>
    </row>
    <row r="577" ht="12.75">
      <c r="G577" s="106"/>
    </row>
    <row r="578" spans="1:10" ht="12.75">
      <c r="A578" s="103" t="s">
        <v>263</v>
      </c>
      <c r="G578" s="106">
        <f>SUM(G255+G312+G322+G328+G366+G448+G454+G489+G556+G560+G572+G278+G497+G494+G491+G389+G386+G566+G574)</f>
        <v>56028298</v>
      </c>
      <c r="H578" s="106">
        <f>SUM(H255+H312+H322+H328+H366+H448+H454+H489+H556+H560+H572+H278+H497+H494+H491+H389+H386+H566+H574)</f>
        <v>256687</v>
      </c>
      <c r="I578" s="126">
        <f>SUM(G578:H578)</f>
        <v>56284985</v>
      </c>
      <c r="J578" s="126"/>
    </row>
    <row r="579" spans="1:10" ht="12.75">
      <c r="A579" s="103" t="s">
        <v>273</v>
      </c>
      <c r="G579" s="106">
        <f>G296</f>
        <v>200000</v>
      </c>
      <c r="H579" s="106">
        <f>H296</f>
        <v>-100000</v>
      </c>
      <c r="I579" s="126">
        <f>SUM(G579:H579)</f>
        <v>100000</v>
      </c>
      <c r="J579" s="126"/>
    </row>
    <row r="580" spans="1:10" ht="12.75">
      <c r="A580" s="103" t="s">
        <v>366</v>
      </c>
      <c r="G580" s="127">
        <f>SUM(G21+G46+G51+G79+G101+G110+G169+G186+G195+G319+G337+G368+G409+G418+G439+G468+G478+G495+G521+G535)</f>
        <v>38243374.18</v>
      </c>
      <c r="H580" s="127">
        <f>SUM(H21+H46+H51+H79+H101+H110+H169+H186+H195+H319+H337+H368+H409+H418+H439+H468+H478+H495+H521+H535)</f>
        <v>-760268.6299999999</v>
      </c>
      <c r="I580" s="128">
        <f>SUM(G580:H580)</f>
        <v>37483105.55</v>
      </c>
      <c r="J580" s="128"/>
    </row>
    <row r="581" ht="12.75">
      <c r="A581" s="84"/>
    </row>
    <row r="582" ht="12.75">
      <c r="A582" s="84"/>
    </row>
    <row r="583" ht="12.75">
      <c r="A583" s="84"/>
    </row>
    <row r="584" ht="12.75">
      <c r="A584" s="84"/>
    </row>
    <row r="585" ht="12.75">
      <c r="A585" s="84"/>
    </row>
    <row r="586" ht="12.75">
      <c r="A586" s="84"/>
    </row>
    <row r="587" ht="12.75">
      <c r="A587" s="84"/>
    </row>
    <row r="588" ht="12.75">
      <c r="A588" s="84"/>
    </row>
    <row r="589" ht="12.75">
      <c r="A589" s="84"/>
    </row>
    <row r="590" ht="12.75">
      <c r="A590" s="84"/>
    </row>
    <row r="591" ht="12.75">
      <c r="A591" s="84"/>
    </row>
    <row r="592" ht="12.75">
      <c r="A592" s="84"/>
    </row>
    <row r="593" ht="12.75">
      <c r="A593" s="84"/>
    </row>
    <row r="594" ht="12.75">
      <c r="A594" s="84"/>
    </row>
    <row r="595" ht="12.75">
      <c r="A595" s="84"/>
    </row>
    <row r="596" ht="12.75">
      <c r="A596" s="84"/>
    </row>
    <row r="597" ht="12.75">
      <c r="A597" s="84"/>
    </row>
    <row r="598" ht="12.75">
      <c r="A598" s="84"/>
    </row>
    <row r="599" ht="12.75">
      <c r="A599" s="84"/>
    </row>
    <row r="600" ht="12.75">
      <c r="A600" s="84"/>
    </row>
    <row r="601" ht="12.75">
      <c r="A601" s="84"/>
    </row>
    <row r="602" ht="12.75">
      <c r="A602" s="86"/>
    </row>
    <row r="604" ht="12.75">
      <c r="A604" s="85"/>
    </row>
  </sheetData>
  <sheetProtection/>
  <mergeCells count="1">
    <mergeCell ref="A12:G12"/>
  </mergeCells>
  <printOptions/>
  <pageMargins left="0.5905511811023623" right="0.3937007874015748" top="0.5905511811023623" bottom="0.5905511811023623" header="0.15748031496062992" footer="0.3937007874015748"/>
  <pageSetup fitToHeight="99" horizontalDpi="600" verticalDpi="600" orientation="portrait" paperSize="9" scale="5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2013-06-18T07:55:40Z</cp:lastPrinted>
  <dcterms:created xsi:type="dcterms:W3CDTF">2007-08-13T07:10:11Z</dcterms:created>
  <dcterms:modified xsi:type="dcterms:W3CDTF">2013-09-19T10:31:36Z</dcterms:modified>
  <cp:category/>
  <cp:version/>
  <cp:contentType/>
  <cp:contentStatus/>
</cp:coreProperties>
</file>