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95" windowHeight="8490" activeTab="2"/>
  </bookViews>
  <sheets>
    <sheet name="Числ" sheetId="1" r:id="rId1"/>
    <sheet name="СРЗП" sheetId="2" r:id="rId2"/>
    <sheet name="ФЗП" sheetId="3" r:id="rId3"/>
  </sheets>
  <definedNames>
    <definedName name="_xlnm.Print_Area" localSheetId="1">'СРЗП'!$A$1:$K$18</definedName>
    <definedName name="_xlnm.Print_Area" localSheetId="2">'ФЗП'!$A$2:$P$18</definedName>
    <definedName name="_xlnm.Print_Area" localSheetId="0">'Числ'!$A$1:$K$21</definedName>
  </definedNames>
  <calcPr fullCalcOnLoad="1"/>
</workbook>
</file>

<file path=xl/sharedStrings.xml><?xml version="1.0" encoding="utf-8"?>
<sst xmlns="http://schemas.openxmlformats.org/spreadsheetml/2006/main" count="90" uniqueCount="30">
  <si>
    <t>Быченское</t>
  </si>
  <si>
    <t>Долгощельское</t>
  </si>
  <si>
    <t>Дорогорское</t>
  </si>
  <si>
    <t>Жердское</t>
  </si>
  <si>
    <t>Козьмогородское</t>
  </si>
  <si>
    <t>Ручьевское</t>
  </si>
  <si>
    <t>1 вариант</t>
  </si>
  <si>
    <t>2 вариант</t>
  </si>
  <si>
    <t>Итого по району</t>
  </si>
  <si>
    <t>Мезенское</t>
  </si>
  <si>
    <t>Каменское</t>
  </si>
  <si>
    <t>Койденское</t>
  </si>
  <si>
    <t>Совпольское</t>
  </si>
  <si>
    <t>Соянское</t>
  </si>
  <si>
    <t>Целегорское</t>
  </si>
  <si>
    <t>Поселения</t>
  </si>
  <si>
    <t xml:space="preserve">Среднемесячная заработная плата </t>
  </si>
  <si>
    <t>Численность работающих в разрезе поселений</t>
  </si>
  <si>
    <t>Фонд заработной платы</t>
  </si>
  <si>
    <t>Всего городские</t>
  </si>
  <si>
    <t>Всего сельские</t>
  </si>
  <si>
    <t>2014 год</t>
  </si>
  <si>
    <t>2018 год</t>
  </si>
  <si>
    <t>2019 год</t>
  </si>
  <si>
    <t xml:space="preserve">Мезенское </t>
  </si>
  <si>
    <t>расчетно 2016 год</t>
  </si>
  <si>
    <t>расчетно 2015 год</t>
  </si>
  <si>
    <t>базовый вариант</t>
  </si>
  <si>
    <t>ожидаемая оценка 2017 год</t>
  </si>
  <si>
    <t>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</si>
</sst>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18"/>
      <name val="Times New Roman"/>
      <family val="1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C00000"/>
      <name val="Calibri"/>
      <family val="2"/>
    </font>
    <font>
      <sz val="10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4" fontId="47" fillId="0" borderId="10" xfId="0" applyNumberFormat="1" applyFont="1" applyBorder="1" applyAlignment="1">
      <alignment horizontal="right"/>
    </xf>
    <xf numFmtId="14" fontId="38" fillId="0" borderId="0" xfId="0" applyNumberFormat="1" applyFont="1" applyAlignment="1">
      <alignment horizontal="left"/>
    </xf>
    <xf numFmtId="0" fontId="8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8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3" fontId="50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47" fillId="0" borderId="10" xfId="0" applyFont="1" applyBorder="1" applyAlignment="1">
      <alignment horizontal="left" wrapText="1"/>
    </xf>
    <xf numFmtId="164" fontId="5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3" fontId="52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4" fontId="17" fillId="33" borderId="10" xfId="0" applyNumberFormat="1" applyFon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K21"/>
    </sheetView>
  </sheetViews>
  <sheetFormatPr defaultColWidth="9.140625" defaultRowHeight="15"/>
  <cols>
    <col min="1" max="1" width="18.7109375" style="0" customWidth="1"/>
    <col min="2" max="2" width="9.8515625" style="0" customWidth="1"/>
    <col min="3" max="3" width="9.7109375" style="0" customWidth="1"/>
    <col min="4" max="4" width="10.00390625" style="0" customWidth="1"/>
    <col min="5" max="5" width="10.28125" style="0" customWidth="1"/>
    <col min="6" max="7" width="8.28125" style="0" customWidth="1"/>
    <col min="8" max="8" width="5.57421875" style="0" customWidth="1"/>
    <col min="9" max="9" width="11.7109375" style="0" customWidth="1"/>
    <col min="10" max="10" width="6.7109375" style="0" customWidth="1"/>
    <col min="11" max="11" width="11.7109375" style="0" customWidth="1"/>
  </cols>
  <sheetData>
    <row r="1" spans="1:11" ht="19.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50" t="s">
        <v>15</v>
      </c>
      <c r="B2" s="50" t="s">
        <v>21</v>
      </c>
      <c r="C2" s="50" t="s">
        <v>26</v>
      </c>
      <c r="D2" s="50" t="s">
        <v>25</v>
      </c>
      <c r="E2" s="50" t="s">
        <v>28</v>
      </c>
      <c r="F2" s="47" t="s">
        <v>22</v>
      </c>
      <c r="G2" s="48"/>
      <c r="H2" s="47" t="s">
        <v>23</v>
      </c>
      <c r="I2" s="48"/>
      <c r="J2" s="47" t="s">
        <v>29</v>
      </c>
      <c r="K2" s="48"/>
    </row>
    <row r="3" spans="1:11" ht="45">
      <c r="A3" s="51"/>
      <c r="B3" s="51"/>
      <c r="C3" s="51"/>
      <c r="D3" s="51"/>
      <c r="E3" s="51"/>
      <c r="F3" s="20" t="s">
        <v>6</v>
      </c>
      <c r="G3" s="19" t="s">
        <v>27</v>
      </c>
      <c r="H3" s="18" t="s">
        <v>6</v>
      </c>
      <c r="I3" s="18" t="s">
        <v>7</v>
      </c>
      <c r="J3" s="18" t="s">
        <v>6</v>
      </c>
      <c r="K3" s="18" t="s">
        <v>7</v>
      </c>
    </row>
    <row r="4" spans="1:11" ht="15">
      <c r="A4" s="3" t="s">
        <v>9</v>
      </c>
      <c r="B4" s="25">
        <v>1292</v>
      </c>
      <c r="C4" s="26">
        <v>1270</v>
      </c>
      <c r="D4" s="26">
        <v>1250</v>
      </c>
      <c r="E4" s="32">
        <v>1250</v>
      </c>
      <c r="F4" s="32"/>
      <c r="G4" s="32">
        <v>1250</v>
      </c>
      <c r="H4" s="1"/>
      <c r="I4" s="1">
        <v>1250</v>
      </c>
      <c r="J4" s="1"/>
      <c r="K4" s="1">
        <v>1250</v>
      </c>
    </row>
    <row r="5" spans="1:11" ht="15">
      <c r="A5" s="3" t="s">
        <v>10</v>
      </c>
      <c r="B5" s="25">
        <v>460</v>
      </c>
      <c r="C5" s="26">
        <v>420</v>
      </c>
      <c r="D5" s="26">
        <v>415</v>
      </c>
      <c r="E5" s="26">
        <v>410</v>
      </c>
      <c r="F5" s="26"/>
      <c r="G5" s="26">
        <v>410</v>
      </c>
      <c r="H5" s="1"/>
      <c r="I5" s="1">
        <v>410</v>
      </c>
      <c r="J5" s="1"/>
      <c r="K5" s="1">
        <v>410</v>
      </c>
    </row>
    <row r="6" spans="1:11" ht="15">
      <c r="A6" s="16" t="s">
        <v>19</v>
      </c>
      <c r="B6" s="27">
        <f>SUM(B4:B5)</f>
        <v>1752</v>
      </c>
      <c r="C6" s="27">
        <f>SUM(C4:C5)</f>
        <v>1690</v>
      </c>
      <c r="D6" s="27">
        <f>SUM(D4:D5)</f>
        <v>1665</v>
      </c>
      <c r="E6" s="27">
        <f>SUM(E4:E5)</f>
        <v>1660</v>
      </c>
      <c r="F6" s="27">
        <f>SUM(F4:F5)</f>
        <v>0</v>
      </c>
      <c r="G6" s="27">
        <f>SUM(G4:G5)</f>
        <v>1660</v>
      </c>
      <c r="H6" s="17">
        <f>SUM(H4:H5)</f>
        <v>0</v>
      </c>
      <c r="I6" s="17">
        <f>SUM(I4:I5)</f>
        <v>1660</v>
      </c>
      <c r="J6" s="17">
        <f>SUM(J4:J5)</f>
        <v>0</v>
      </c>
      <c r="K6" s="17">
        <f>+K4+K5</f>
        <v>1660</v>
      </c>
    </row>
    <row r="7" spans="1:11" ht="15">
      <c r="A7" s="3" t="s">
        <v>0</v>
      </c>
      <c r="B7" s="25">
        <f>87+32+20</f>
        <v>139</v>
      </c>
      <c r="C7" s="26">
        <f>76+25+17</f>
        <v>118</v>
      </c>
      <c r="D7" s="26">
        <f>75+25+16</f>
        <v>116</v>
      </c>
      <c r="E7" s="26">
        <f>74+25+16</f>
        <v>115</v>
      </c>
      <c r="F7" s="26"/>
      <c r="G7" s="26">
        <f>74+25+16</f>
        <v>115</v>
      </c>
      <c r="H7" s="1"/>
      <c r="I7" s="1">
        <v>115</v>
      </c>
      <c r="J7" s="1"/>
      <c r="K7" s="1">
        <v>115</v>
      </c>
    </row>
    <row r="8" spans="1:11" ht="15">
      <c r="A8" s="3" t="s">
        <v>1</v>
      </c>
      <c r="B8" s="25">
        <v>281</v>
      </c>
      <c r="C8" s="26">
        <v>254</v>
      </c>
      <c r="D8" s="26">
        <v>254</v>
      </c>
      <c r="E8" s="26">
        <v>254</v>
      </c>
      <c r="F8" s="26"/>
      <c r="G8" s="26">
        <v>254</v>
      </c>
      <c r="H8" s="1"/>
      <c r="I8" s="1">
        <v>254</v>
      </c>
      <c r="J8" s="1"/>
      <c r="K8" s="1">
        <v>254</v>
      </c>
    </row>
    <row r="9" spans="1:11" ht="15">
      <c r="A9" s="3" t="s">
        <v>2</v>
      </c>
      <c r="B9" s="25">
        <v>130</v>
      </c>
      <c r="C9" s="26">
        <v>120</v>
      </c>
      <c r="D9" s="26">
        <v>118</v>
      </c>
      <c r="E9" s="26">
        <v>118</v>
      </c>
      <c r="F9" s="26"/>
      <c r="G9" s="26">
        <v>118</v>
      </c>
      <c r="H9" s="1"/>
      <c r="I9" s="1">
        <v>118</v>
      </c>
      <c r="J9" s="1"/>
      <c r="K9" s="1">
        <v>118</v>
      </c>
    </row>
    <row r="10" spans="1:11" ht="15">
      <c r="A10" s="3" t="s">
        <v>3</v>
      </c>
      <c r="B10" s="25">
        <v>31</v>
      </c>
      <c r="C10" s="26">
        <v>28</v>
      </c>
      <c r="D10" s="26">
        <v>27</v>
      </c>
      <c r="E10" s="26">
        <v>27</v>
      </c>
      <c r="F10" s="26"/>
      <c r="G10" s="26">
        <v>27</v>
      </c>
      <c r="H10" s="1"/>
      <c r="I10" s="1">
        <v>27</v>
      </c>
      <c r="J10" s="1"/>
      <c r="K10" s="1">
        <v>27</v>
      </c>
    </row>
    <row r="11" spans="1:11" ht="15">
      <c r="A11" s="30" t="s">
        <v>4</v>
      </c>
      <c r="B11" s="25">
        <v>75</v>
      </c>
      <c r="C11" s="26">
        <v>75</v>
      </c>
      <c r="D11" s="26">
        <v>72</v>
      </c>
      <c r="E11" s="26">
        <v>72</v>
      </c>
      <c r="F11" s="26"/>
      <c r="G11" s="26">
        <v>72</v>
      </c>
      <c r="H11" s="1"/>
      <c r="I11" s="1">
        <v>72</v>
      </c>
      <c r="J11" s="1"/>
      <c r="K11" s="1">
        <v>72</v>
      </c>
    </row>
    <row r="12" spans="1:11" ht="15">
      <c r="A12" s="3" t="s">
        <v>11</v>
      </c>
      <c r="B12" s="25">
        <v>177</v>
      </c>
      <c r="C12" s="26">
        <v>160</v>
      </c>
      <c r="D12" s="26">
        <v>172</v>
      </c>
      <c r="E12" s="26">
        <v>172</v>
      </c>
      <c r="F12" s="26"/>
      <c r="G12" s="26">
        <v>172</v>
      </c>
      <c r="H12" s="1"/>
      <c r="I12" s="1">
        <v>172</v>
      </c>
      <c r="J12" s="1"/>
      <c r="K12" s="1">
        <v>172</v>
      </c>
    </row>
    <row r="13" spans="1:11" ht="15">
      <c r="A13" s="3" t="s">
        <v>5</v>
      </c>
      <c r="B13" s="25">
        <v>122</v>
      </c>
      <c r="C13" s="26">
        <v>124</v>
      </c>
      <c r="D13" s="26">
        <v>122</v>
      </c>
      <c r="E13" s="26">
        <v>120</v>
      </c>
      <c r="F13" s="26"/>
      <c r="G13" s="26">
        <v>120</v>
      </c>
      <c r="H13" s="1"/>
      <c r="I13" s="1">
        <v>120</v>
      </c>
      <c r="J13" s="1"/>
      <c r="K13" s="1">
        <v>120</v>
      </c>
    </row>
    <row r="14" spans="1:11" ht="15">
      <c r="A14" s="3" t="s">
        <v>12</v>
      </c>
      <c r="B14" s="25">
        <v>54</v>
      </c>
      <c r="C14" s="26">
        <v>51</v>
      </c>
      <c r="D14" s="26">
        <v>51</v>
      </c>
      <c r="E14" s="26">
        <v>50</v>
      </c>
      <c r="F14" s="26"/>
      <c r="G14" s="26">
        <v>50</v>
      </c>
      <c r="H14" s="1"/>
      <c r="I14" s="1">
        <v>50</v>
      </c>
      <c r="J14" s="1"/>
      <c r="K14" s="1">
        <v>50</v>
      </c>
    </row>
    <row r="15" spans="1:11" ht="15">
      <c r="A15" s="3" t="s">
        <v>13</v>
      </c>
      <c r="B15" s="25">
        <v>1087</v>
      </c>
      <c r="C15" s="26">
        <v>875</v>
      </c>
      <c r="D15" s="35">
        <f>947+330</f>
        <v>1277</v>
      </c>
      <c r="E15" s="35">
        <f>947+453</f>
        <v>1400</v>
      </c>
      <c r="F15" s="26"/>
      <c r="G15" s="35">
        <f>947+445</f>
        <v>1392</v>
      </c>
      <c r="H15" s="1"/>
      <c r="I15" s="1">
        <v>1377</v>
      </c>
      <c r="J15" s="1"/>
      <c r="K15" s="1">
        <v>1327</v>
      </c>
    </row>
    <row r="16" spans="1:11" ht="15">
      <c r="A16" s="3" t="s">
        <v>14</v>
      </c>
      <c r="B16" s="25">
        <v>37</v>
      </c>
      <c r="C16" s="26">
        <v>35</v>
      </c>
      <c r="D16" s="26">
        <v>26</v>
      </c>
      <c r="E16" s="26">
        <v>25</v>
      </c>
      <c r="F16" s="26"/>
      <c r="G16" s="26">
        <v>25</v>
      </c>
      <c r="H16" s="1"/>
      <c r="I16" s="1">
        <v>25</v>
      </c>
      <c r="J16" s="1"/>
      <c r="K16" s="1">
        <v>25</v>
      </c>
    </row>
    <row r="17" spans="1:11" ht="15">
      <c r="A17" s="16" t="s">
        <v>20</v>
      </c>
      <c r="B17" s="27">
        <f aca="true" t="shared" si="0" ref="B17:K17">SUM(B7:B16)</f>
        <v>2133</v>
      </c>
      <c r="C17" s="27">
        <f t="shared" si="0"/>
        <v>1840</v>
      </c>
      <c r="D17" s="27">
        <f t="shared" si="0"/>
        <v>2235</v>
      </c>
      <c r="E17" s="27">
        <f t="shared" si="0"/>
        <v>2353</v>
      </c>
      <c r="F17" s="27">
        <f t="shared" si="0"/>
        <v>0</v>
      </c>
      <c r="G17" s="27">
        <f t="shared" si="0"/>
        <v>2345</v>
      </c>
      <c r="H17" s="17">
        <f t="shared" si="0"/>
        <v>0</v>
      </c>
      <c r="I17" s="17">
        <f t="shared" si="0"/>
        <v>2330</v>
      </c>
      <c r="J17" s="17">
        <f t="shared" si="0"/>
        <v>0</v>
      </c>
      <c r="K17" s="17">
        <f t="shared" si="0"/>
        <v>2280</v>
      </c>
    </row>
    <row r="18" spans="1:11" ht="15">
      <c r="A18" s="14" t="s">
        <v>8</v>
      </c>
      <c r="B18" s="28">
        <f aca="true" t="shared" si="1" ref="B18:J18">SUM(B17,B6)</f>
        <v>3885</v>
      </c>
      <c r="C18" s="28">
        <f t="shared" si="1"/>
        <v>3530</v>
      </c>
      <c r="D18" s="28">
        <f t="shared" si="1"/>
        <v>3900</v>
      </c>
      <c r="E18" s="28">
        <f t="shared" si="1"/>
        <v>4013</v>
      </c>
      <c r="F18" s="28">
        <f t="shared" si="1"/>
        <v>0</v>
      </c>
      <c r="G18" s="28">
        <f t="shared" si="1"/>
        <v>4005</v>
      </c>
      <c r="H18" s="15">
        <f t="shared" si="1"/>
        <v>0</v>
      </c>
      <c r="I18" s="15">
        <v>3990</v>
      </c>
      <c r="J18" s="15">
        <f t="shared" si="1"/>
        <v>0</v>
      </c>
      <c r="K18" s="15">
        <v>3940</v>
      </c>
    </row>
    <row r="20" ht="15">
      <c r="A20" s="6"/>
    </row>
    <row r="21" ht="22.5" customHeight="1"/>
  </sheetData>
  <sheetProtection/>
  <mergeCells count="9">
    <mergeCell ref="F2:G2"/>
    <mergeCell ref="H2:I2"/>
    <mergeCell ref="J2:K2"/>
    <mergeCell ref="A1:K1"/>
    <mergeCell ref="A2:A3"/>
    <mergeCell ref="B2:B3"/>
    <mergeCell ref="D2:D3"/>
    <mergeCell ref="C2:C3"/>
    <mergeCell ref="E2:E3"/>
  </mergeCells>
  <printOptions/>
  <pageMargins left="0.5905511811023623" right="0.1968503937007874" top="0.5511811023622047" bottom="0.5511811023622047" header="0.31496062992125984" footer="0.3149606299212598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K18"/>
    </sheetView>
  </sheetViews>
  <sheetFormatPr defaultColWidth="9.140625" defaultRowHeight="15"/>
  <cols>
    <col min="1" max="1" width="17.8515625" style="0" customWidth="1"/>
    <col min="2" max="2" width="9.140625" style="0" customWidth="1"/>
    <col min="3" max="3" width="9.28125" style="0" customWidth="1"/>
    <col min="4" max="4" width="9.57421875" style="0" customWidth="1"/>
    <col min="5" max="5" width="10.28125" style="0" customWidth="1"/>
    <col min="6" max="6" width="8.7109375" style="0" customWidth="1"/>
    <col min="7" max="7" width="10.00390625" style="0" customWidth="1"/>
    <col min="8" max="11" width="11.7109375" style="0" customWidth="1"/>
  </cols>
  <sheetData>
    <row r="1" spans="1:11" ht="19.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50" t="s">
        <v>15</v>
      </c>
      <c r="B2" s="50" t="s">
        <v>21</v>
      </c>
      <c r="C2" s="50" t="s">
        <v>26</v>
      </c>
      <c r="D2" s="50" t="s">
        <v>25</v>
      </c>
      <c r="E2" s="50" t="s">
        <v>28</v>
      </c>
      <c r="F2" s="47" t="s">
        <v>22</v>
      </c>
      <c r="G2" s="48"/>
      <c r="H2" s="47" t="s">
        <v>23</v>
      </c>
      <c r="I2" s="48"/>
      <c r="J2" s="47" t="s">
        <v>29</v>
      </c>
      <c r="K2" s="48"/>
    </row>
    <row r="3" spans="1:11" ht="30">
      <c r="A3" s="51"/>
      <c r="B3" s="51"/>
      <c r="C3" s="51"/>
      <c r="D3" s="51"/>
      <c r="E3" s="51"/>
      <c r="F3" s="20" t="s">
        <v>6</v>
      </c>
      <c r="G3" s="19" t="s">
        <v>27</v>
      </c>
      <c r="H3" s="18" t="s">
        <v>6</v>
      </c>
      <c r="I3" s="18" t="s">
        <v>7</v>
      </c>
      <c r="J3" s="18" t="s">
        <v>6</v>
      </c>
      <c r="K3" s="18" t="s">
        <v>7</v>
      </c>
    </row>
    <row r="4" spans="1:11" ht="15">
      <c r="A4" s="2" t="s">
        <v>9</v>
      </c>
      <c r="B4" s="5">
        <f>ФЗП!B4/Числ!B4/12*1000</f>
        <v>31704.366615067076</v>
      </c>
      <c r="C4" s="5">
        <f>ФЗП!C4/Числ!C4/12*1000</f>
        <v>32989.69816272966</v>
      </c>
      <c r="D4" s="5">
        <f>ФЗП!E4/Числ!D4/12*1000</f>
        <v>29489.526666666665</v>
      </c>
      <c r="E4" s="5">
        <f>ФЗП!G4/Числ!E4/12*1000</f>
        <v>30621.913333333334</v>
      </c>
      <c r="F4" s="5"/>
      <c r="G4" s="5">
        <f>ФЗП!J4/Числ!G4/12*1000</f>
        <v>33039.433333333334</v>
      </c>
      <c r="H4" s="5"/>
      <c r="I4" s="5">
        <f>ФЗП!M4/Числ!I4/12*1000</f>
        <v>34691.405</v>
      </c>
      <c r="J4" s="5"/>
      <c r="K4" s="5">
        <f>ФЗП!O4/Числ!K4/12*1000</f>
        <v>36425.97525</v>
      </c>
    </row>
    <row r="5" spans="1:11" ht="15">
      <c r="A5" s="2" t="s">
        <v>10</v>
      </c>
      <c r="B5" s="5">
        <f>ФЗП!B5/Числ!B5/12*1000</f>
        <v>23978.0615942029</v>
      </c>
      <c r="C5" s="5">
        <f>ФЗП!C5/Числ!C5/12*1000</f>
        <v>27625.35714285714</v>
      </c>
      <c r="D5" s="5">
        <f>ФЗП!E5/Числ!D5/12*1000</f>
        <v>29759.738955823294</v>
      </c>
      <c r="E5" s="5">
        <f>ФЗП!G5/Числ!E5/12*1000</f>
        <v>26363.943089430893</v>
      </c>
      <c r="F5" s="5"/>
      <c r="G5" s="5">
        <f>ФЗП!J5/Числ!G5/12*1000</f>
        <v>28389.390243902435</v>
      </c>
      <c r="H5" s="5"/>
      <c r="I5" s="5">
        <f>ФЗП!M5/Числ!I5/12*1000</f>
        <v>29808.85975609756</v>
      </c>
      <c r="J5" s="5"/>
      <c r="K5" s="5">
        <f>ФЗП!O5/Числ!K5/12*1000</f>
        <v>31299.302743902434</v>
      </c>
    </row>
    <row r="6" spans="1:11" s="4" customFormat="1" ht="15">
      <c r="A6" s="7" t="s">
        <v>19</v>
      </c>
      <c r="B6" s="8">
        <f>ФЗП!B6/Числ!B6/12*1000</f>
        <v>29675.770547945205</v>
      </c>
      <c r="C6" s="8">
        <f>ФЗП!C6/Числ!C6/12*1000</f>
        <v>31656.5483234714</v>
      </c>
      <c r="D6" s="8">
        <f>ФЗП!E6/Числ!D6/12*1000</f>
        <v>29556.876876876882</v>
      </c>
      <c r="E6" s="8">
        <f>ФЗП!G6/Числ!E6/12*1000</f>
        <v>29570.245983935743</v>
      </c>
      <c r="F6" s="8"/>
      <c r="G6" s="8">
        <f>ФЗП!J6/Числ!G6/12*1000</f>
        <v>31890.92871485944</v>
      </c>
      <c r="H6" s="8"/>
      <c r="I6" s="5">
        <f>ФЗП!M6/Числ!I6/12*1000</f>
        <v>33485.47515060241</v>
      </c>
      <c r="J6" s="8"/>
      <c r="K6" s="5">
        <f>ФЗП!O6/Числ!K6/12*1000</f>
        <v>35159.74890813253</v>
      </c>
    </row>
    <row r="7" spans="1:11" ht="15">
      <c r="A7" s="2" t="s">
        <v>0</v>
      </c>
      <c r="B7" s="5">
        <f>ФЗП!B7/Числ!B7/12*1000</f>
        <v>22560.13189448441</v>
      </c>
      <c r="C7" s="5">
        <f>ФЗП!C7/Числ!C7/12*1000</f>
        <v>26267.231638418078</v>
      </c>
      <c r="D7" s="5">
        <f>ФЗП!E7/Числ!D7/12*1000</f>
        <v>25647.48563218391</v>
      </c>
      <c r="E7" s="5">
        <f>ФЗП!G7/Числ!E7/12*1000</f>
        <v>24217.318840579712</v>
      </c>
      <c r="F7" s="5"/>
      <c r="G7" s="5">
        <f>ФЗП!J7/Числ!G7/12*1000</f>
        <v>25705.579710144928</v>
      </c>
      <c r="H7" s="5"/>
      <c r="I7" s="5">
        <f>ФЗП!M7/Числ!I7/12*1000</f>
        <v>26733.681159420288</v>
      </c>
      <c r="J7" s="5"/>
      <c r="K7" s="5">
        <f>ФЗП!O7/Числ!K7/12*1000</f>
        <v>28070.36521739131</v>
      </c>
    </row>
    <row r="8" spans="1:11" ht="15">
      <c r="A8" s="2" t="s">
        <v>1</v>
      </c>
      <c r="B8" s="5">
        <f>ФЗП!B8/Числ!B8/12*1000</f>
        <v>38120.01779359431</v>
      </c>
      <c r="C8" s="5">
        <f>ФЗП!C8/Числ!C8/12*1000</f>
        <v>43939.304461942265</v>
      </c>
      <c r="D8" s="5">
        <f>ФЗП!E8/Числ!D8/12*1000</f>
        <v>50652.526246719164</v>
      </c>
      <c r="E8" s="5">
        <f>ФЗП!G8/Числ!E8/12*1000</f>
        <v>53970.30839895013</v>
      </c>
      <c r="F8" s="5"/>
      <c r="G8" s="5">
        <f>ФЗП!J8/Числ!G8/12*1000</f>
        <v>58865.71522309711</v>
      </c>
      <c r="H8" s="5"/>
      <c r="I8" s="5">
        <f>ФЗП!M8/Числ!I8/12*1000</f>
        <v>61808.99934383202</v>
      </c>
      <c r="J8" s="5"/>
      <c r="K8" s="5">
        <f>ФЗП!O8/Числ!K8/12*1000</f>
        <v>64899.449311023614</v>
      </c>
    </row>
    <row r="9" spans="1:11" ht="15">
      <c r="A9" s="2" t="s">
        <v>2</v>
      </c>
      <c r="B9" s="5">
        <f>ФЗП!B9/Числ!B9/12*1000</f>
        <v>22895.448717948722</v>
      </c>
      <c r="C9" s="5">
        <f>ФЗП!C9/Числ!C9/12*1000</f>
        <v>23590</v>
      </c>
      <c r="D9" s="5">
        <f>ФЗП!E9/Числ!D9/12*1000</f>
        <v>25479.943502824855</v>
      </c>
      <c r="E9" s="5">
        <f>ФЗП!G9/Числ!E9/12*1000</f>
        <v>22757.485875706214</v>
      </c>
      <c r="F9" s="5"/>
      <c r="G9" s="5">
        <f>ФЗП!J9/Числ!G9/12*1000</f>
        <v>24299.011299435027</v>
      </c>
      <c r="H9" s="5"/>
      <c r="I9" s="5">
        <f>ФЗП!M9/Числ!I9/12*1000</f>
        <v>25513.961864406778</v>
      </c>
      <c r="J9" s="5"/>
      <c r="K9" s="5">
        <f>ФЗП!O9/Числ!K9/12*1000</f>
        <v>26789.65995762712</v>
      </c>
    </row>
    <row r="10" spans="1:11" ht="15">
      <c r="A10" s="2" t="s">
        <v>3</v>
      </c>
      <c r="B10" s="5">
        <f>ФЗП!B10/Числ!B10/12*1000</f>
        <v>25190.860215053763</v>
      </c>
      <c r="C10" s="5">
        <f>ФЗП!C10/Числ!C10/12*1000</f>
        <v>22249.70238095238</v>
      </c>
      <c r="D10" s="5">
        <f>ФЗП!E10/Числ!D10/12*1000</f>
        <v>23461.11111111111</v>
      </c>
      <c r="E10" s="5">
        <f>ФЗП!G10/Числ!E10/12*1000</f>
        <v>18757.407407407405</v>
      </c>
      <c r="F10" s="5"/>
      <c r="G10" s="5">
        <f>ФЗП!J10/Числ!G10/12*1000</f>
        <v>19891.35802469136</v>
      </c>
      <c r="H10" s="5"/>
      <c r="I10" s="5">
        <f>ФЗП!M10/Числ!I10/12*1000</f>
        <v>20687.006172839505</v>
      </c>
      <c r="J10" s="5"/>
      <c r="K10" s="5">
        <f>ФЗП!O10/Числ!K10/12*1000</f>
        <v>21721.35648148148</v>
      </c>
    </row>
    <row r="11" spans="1:11" ht="15">
      <c r="A11" s="2" t="s">
        <v>4</v>
      </c>
      <c r="B11" s="5">
        <f>ФЗП!B11/Числ!B11/12*1000</f>
        <v>25458.77777777778</v>
      </c>
      <c r="C11" s="5">
        <f>ФЗП!C11/Числ!C11/12*1000</f>
        <v>27603.333333333336</v>
      </c>
      <c r="D11" s="5">
        <f>ФЗП!E11/Числ!D11/12*1000</f>
        <v>24633.564814814818</v>
      </c>
      <c r="E11" s="5">
        <f>ФЗП!G11/Числ!E11/12*1000</f>
        <v>25681.597222222223</v>
      </c>
      <c r="F11" s="5"/>
      <c r="G11" s="5">
        <f>ФЗП!J11/Числ!G11/12*1000</f>
        <v>27293.86574074074</v>
      </c>
      <c r="H11" s="5"/>
      <c r="I11" s="5">
        <f>ФЗП!M11/Числ!I11/12*1000</f>
        <v>28658.553240740745</v>
      </c>
      <c r="J11" s="5"/>
      <c r="K11" s="5">
        <f>ФЗП!O11/Числ!K11/12*1000</f>
        <v>30091.480902777777</v>
      </c>
    </row>
    <row r="12" spans="1:11" ht="15">
      <c r="A12" s="2" t="s">
        <v>11</v>
      </c>
      <c r="B12" s="5">
        <f>ФЗП!B12/Числ!B12/12*1000</f>
        <v>45119.91525423729</v>
      </c>
      <c r="C12" s="5">
        <f>ФЗП!C12/Числ!C12/12*1000</f>
        <v>62700.520833333336</v>
      </c>
      <c r="D12" s="5">
        <f>ФЗП!E12/Числ!D12/12*1000</f>
        <v>68308.62403100776</v>
      </c>
      <c r="E12" s="5">
        <f>ФЗП!G12/Числ!E12/12*1000</f>
        <v>70262.4515503876</v>
      </c>
      <c r="F12" s="5"/>
      <c r="G12" s="5">
        <f>ФЗП!J12/Числ!G12/12*1000</f>
        <v>77495.30038759689</v>
      </c>
      <c r="H12" s="5"/>
      <c r="I12" s="5">
        <f>ФЗП!M12/Числ!I12/12*1000</f>
        <v>80595.11240310076</v>
      </c>
      <c r="J12" s="5"/>
      <c r="K12" s="5">
        <f>ФЗП!O12/Числ!K12/12*1000</f>
        <v>84624.86802325581</v>
      </c>
    </row>
    <row r="13" spans="1:11" ht="15">
      <c r="A13" s="2" t="s">
        <v>5</v>
      </c>
      <c r="B13" s="5">
        <f>ФЗП!B13/Числ!B13/12*1000</f>
        <v>36256.625683060105</v>
      </c>
      <c r="C13" s="5">
        <f>ФЗП!C13/Числ!C13/12*1000</f>
        <v>40888.30645161291</v>
      </c>
      <c r="D13" s="5">
        <f>ФЗП!E13/Числ!D13/12*1000</f>
        <v>43716.530054644805</v>
      </c>
      <c r="E13" s="5">
        <f>ФЗП!G13/Числ!E13/12*1000</f>
        <v>45872.222222222226</v>
      </c>
      <c r="F13" s="5"/>
      <c r="G13" s="5">
        <f>ФЗП!J13/Числ!G13/12*1000</f>
        <v>49254.166666666664</v>
      </c>
      <c r="H13" s="5"/>
      <c r="I13" s="5">
        <f>ФЗП!M13/Числ!I13/12*1000</f>
        <v>51716.87500000001</v>
      </c>
      <c r="J13" s="5"/>
      <c r="K13" s="5">
        <f>ФЗП!O13/Числ!K13/12*1000</f>
        <v>54302.71875</v>
      </c>
    </row>
    <row r="14" spans="1:11" ht="15">
      <c r="A14" s="2" t="s">
        <v>12</v>
      </c>
      <c r="B14" s="5">
        <f>ФЗП!B14/Числ!B14/12*1000</f>
        <v>23117.283950617282</v>
      </c>
      <c r="C14" s="5">
        <f>ФЗП!C14/Числ!C14/12*1000</f>
        <v>27565.03267973856</v>
      </c>
      <c r="D14" s="5">
        <f>ФЗП!E14/Числ!D14/12*1000</f>
        <v>26758.006535947712</v>
      </c>
      <c r="E14" s="5">
        <f>ФЗП!G14/Числ!E14/12*1000</f>
        <v>25857</v>
      </c>
      <c r="F14" s="5"/>
      <c r="G14" s="5">
        <f>ФЗП!J14/Числ!G14/12*1000</f>
        <v>27358.833333333332</v>
      </c>
      <c r="H14" s="5"/>
      <c r="I14" s="5">
        <f>ФЗП!M14/Числ!I14/12*1000</f>
        <v>27149.850000000002</v>
      </c>
      <c r="J14" s="5"/>
      <c r="K14" s="5">
        <f>ФЗП!O14/Числ!K14/12*1000</f>
        <v>28507.342500000002</v>
      </c>
    </row>
    <row r="15" spans="1:11" ht="15">
      <c r="A15" s="2" t="s">
        <v>13</v>
      </c>
      <c r="B15" s="5">
        <f>ФЗП!B15/Числ!B15/12*1000</f>
        <v>69654.34682612696</v>
      </c>
      <c r="C15" s="5">
        <f>ФЗП!C15/Числ!C15/12*1000</f>
        <v>88041.81904761905</v>
      </c>
      <c r="D15" s="36">
        <f>ФЗП!E15/Числ!D15/12*1000</f>
        <v>71522.03732706864</v>
      </c>
      <c r="E15" s="36">
        <f>ФЗП!G15/Числ!E15/12*1000</f>
        <v>73944.27976190475</v>
      </c>
      <c r="F15" s="5"/>
      <c r="G15" s="36">
        <f>ФЗП!J15/Числ!G15/12*1000</f>
        <v>78130.64535440612</v>
      </c>
      <c r="H15" s="5"/>
      <c r="I15" s="5">
        <f>ФЗП!M15/Числ!I15/12*1000</f>
        <v>82993.59235052046</v>
      </c>
      <c r="J15" s="5"/>
      <c r="K15" s="5">
        <f>ФЗП!O15/Числ!K15/12*1000</f>
        <v>90426.74114544086</v>
      </c>
    </row>
    <row r="16" spans="1:11" ht="15">
      <c r="A16" s="2" t="s">
        <v>14</v>
      </c>
      <c r="B16" s="5">
        <f>ФЗП!B16/Числ!B16/12*1000</f>
        <v>20684.23423423423</v>
      </c>
      <c r="C16" s="5">
        <f>ФЗП!C16/Числ!C16/12*1000</f>
        <v>22951.428571428576</v>
      </c>
      <c r="D16" s="5">
        <f>ФЗП!E16/Числ!D16/12*1000</f>
        <v>29645.51282051282</v>
      </c>
      <c r="E16" s="5">
        <f>ФЗП!G16/Числ!E16/12*1000</f>
        <v>23275.333333333336</v>
      </c>
      <c r="F16" s="5"/>
      <c r="G16" s="5">
        <f>ФЗП!J16/Числ!G16/12*1000</f>
        <v>24586</v>
      </c>
      <c r="H16" s="5"/>
      <c r="I16" s="5">
        <f>ФЗП!M16/Числ!I16/12*1000</f>
        <v>24439.099999999995</v>
      </c>
      <c r="J16" s="5"/>
      <c r="K16" s="5">
        <f>ФЗП!O16/Числ!K16/12*1000</f>
        <v>25661.054999999993</v>
      </c>
    </row>
    <row r="17" spans="1:11" s="4" customFormat="1" ht="15">
      <c r="A17" s="7" t="s">
        <v>20</v>
      </c>
      <c r="B17" s="8">
        <f>ФЗП!B17/Числ!B17/12*1000</f>
        <v>51407.30192217534</v>
      </c>
      <c r="C17" s="8">
        <f>ФЗП!C17/Числ!C17/12*1000</f>
        <v>62028.31521739131</v>
      </c>
      <c r="D17" s="8">
        <f>ФЗП!E17/Числ!D17/12*1000</f>
        <v>58973.66144668157</v>
      </c>
      <c r="E17" s="8">
        <f>ФЗП!G17/Числ!E17/12*1000</f>
        <v>61419.843462246776</v>
      </c>
      <c r="F17" s="8"/>
      <c r="G17" s="8">
        <f>ФЗП!J17/Числ!G17/12*1000</f>
        <v>65355.08884150674</v>
      </c>
      <c r="H17" s="8"/>
      <c r="I17" s="5">
        <f>ФЗП!M17/Числ!I17/12*1000</f>
        <v>68980.90243204578</v>
      </c>
      <c r="J17" s="8"/>
      <c r="K17" s="5">
        <f>ФЗП!O17/Числ!K17/12*1000</f>
        <v>74018.32359649125</v>
      </c>
    </row>
    <row r="18" spans="1:11" s="4" customFormat="1" ht="15">
      <c r="A18" s="9" t="s">
        <v>8</v>
      </c>
      <c r="B18" s="10">
        <f>ФЗП!B18/Числ!B18/12*1000</f>
        <v>41607.13642213643</v>
      </c>
      <c r="C18" s="10">
        <f>ФЗП!C18/Числ!C18/12*1000</f>
        <v>47487.72426817754</v>
      </c>
      <c r="D18" s="10">
        <f>ФЗП!E18/Числ!D18/12*1000</f>
        <v>46414.95726495726</v>
      </c>
      <c r="E18" s="10">
        <f>ФЗП!G18/Числ!E18/12*1000</f>
        <v>48245.078494891604</v>
      </c>
      <c r="F18" s="10"/>
      <c r="G18" s="10">
        <f>ФЗП!J18/Числ!G18/12*1000</f>
        <v>51484.80024968788</v>
      </c>
      <c r="H18" s="10"/>
      <c r="I18" s="10">
        <f>ФЗП!M18/Числ!I18/12*1000</f>
        <v>54213.381307435266</v>
      </c>
      <c r="J18" s="10"/>
      <c r="K18" s="10">
        <f>ФЗП!O18/Числ!K18/12*1000</f>
        <v>57646.436798857874</v>
      </c>
    </row>
    <row r="20" ht="15">
      <c r="A20" s="6"/>
    </row>
  </sheetData>
  <sheetProtection/>
  <mergeCells count="9">
    <mergeCell ref="F2:G2"/>
    <mergeCell ref="H2:I2"/>
    <mergeCell ref="J2:K2"/>
    <mergeCell ref="A1:K1"/>
    <mergeCell ref="A2:A3"/>
    <mergeCell ref="B2:B3"/>
    <mergeCell ref="C2:C3"/>
    <mergeCell ref="D2:D3"/>
    <mergeCell ref="E2:E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2:P18"/>
    </sheetView>
  </sheetViews>
  <sheetFormatPr defaultColWidth="9.140625" defaultRowHeight="15"/>
  <cols>
    <col min="1" max="1" width="16.00390625" style="0" customWidth="1"/>
    <col min="2" max="2" width="10.8515625" style="0" customWidth="1"/>
    <col min="3" max="3" width="11.28125" style="0" bestFit="1" customWidth="1"/>
    <col min="4" max="4" width="5.421875" style="0" customWidth="1"/>
    <col min="5" max="5" width="11.28125" style="0" bestFit="1" customWidth="1"/>
    <col min="6" max="6" width="5.140625" style="0" customWidth="1"/>
    <col min="7" max="7" width="10.7109375" style="0" customWidth="1"/>
    <col min="8" max="8" width="4.8515625" style="0" customWidth="1"/>
    <col min="9" max="9" width="9.28125" style="0" hidden="1" customWidth="1"/>
    <col min="10" max="10" width="11.140625" style="0" customWidth="1"/>
    <col min="11" max="11" width="4.8515625" style="0" customWidth="1"/>
    <col min="12" max="12" width="11.28125" style="0" hidden="1" customWidth="1"/>
    <col min="13" max="13" width="11.421875" style="0" bestFit="1" customWidth="1"/>
    <col min="14" max="14" width="9.8515625" style="0" customWidth="1"/>
    <col min="15" max="15" width="11.421875" style="0" bestFit="1" customWidth="1"/>
  </cols>
  <sheetData>
    <row r="1" spans="1:15" ht="19.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3"/>
      <c r="K1" s="53"/>
      <c r="L1" s="53"/>
      <c r="M1" s="53"/>
      <c r="N1" s="53"/>
      <c r="O1" s="53"/>
    </row>
    <row r="2" spans="1:16" ht="15">
      <c r="A2" s="50" t="s">
        <v>15</v>
      </c>
      <c r="B2" s="50" t="s">
        <v>21</v>
      </c>
      <c r="C2" s="50" t="s">
        <v>26</v>
      </c>
      <c r="D2" s="50"/>
      <c r="E2" s="50" t="s">
        <v>25</v>
      </c>
      <c r="F2" s="50"/>
      <c r="G2" s="50" t="s">
        <v>28</v>
      </c>
      <c r="H2" s="50"/>
      <c r="I2" s="43" t="s">
        <v>22</v>
      </c>
      <c r="J2" s="54">
        <v>2018</v>
      </c>
      <c r="K2" s="54"/>
      <c r="L2" s="46" t="s">
        <v>23</v>
      </c>
      <c r="M2" s="54" t="s">
        <v>23</v>
      </c>
      <c r="N2" s="54"/>
      <c r="O2" s="54" t="s">
        <v>29</v>
      </c>
      <c r="P2" s="54"/>
    </row>
    <row r="3" spans="1:16" ht="30">
      <c r="A3" s="51"/>
      <c r="B3" s="51"/>
      <c r="C3" s="51"/>
      <c r="D3" s="51"/>
      <c r="E3" s="51"/>
      <c r="F3" s="51"/>
      <c r="G3" s="51"/>
      <c r="H3" s="51"/>
      <c r="I3" s="44" t="s">
        <v>6</v>
      </c>
      <c r="J3" s="19" t="s">
        <v>27</v>
      </c>
      <c r="K3" s="45"/>
      <c r="L3" s="18" t="s">
        <v>6</v>
      </c>
      <c r="M3" s="18" t="s">
        <v>7</v>
      </c>
      <c r="N3" s="18"/>
      <c r="O3" s="18" t="s">
        <v>7</v>
      </c>
      <c r="P3" s="42"/>
    </row>
    <row r="4" spans="1:16" ht="15">
      <c r="A4" s="2" t="s">
        <v>24</v>
      </c>
      <c r="B4" s="21">
        <v>491544.5</v>
      </c>
      <c r="C4" s="21">
        <v>502763</v>
      </c>
      <c r="D4" s="31">
        <f>C4/B4%</f>
        <v>102.28229590606752</v>
      </c>
      <c r="E4" s="33">
        <v>442342.9</v>
      </c>
      <c r="F4" s="31">
        <f>E4/C4%</f>
        <v>87.98238931663627</v>
      </c>
      <c r="G4" s="33">
        <v>459328.7</v>
      </c>
      <c r="H4" s="31">
        <f>G4/E4%</f>
        <v>103.83996216509861</v>
      </c>
      <c r="I4" s="11">
        <f>Числ!F4*СРЗП!F4*12/1000</f>
        <v>0</v>
      </c>
      <c r="J4" s="21">
        <v>495591.5</v>
      </c>
      <c r="K4" s="31">
        <f>J4/G4%</f>
        <v>107.89473856086066</v>
      </c>
      <c r="L4" s="11">
        <f>Числ!H4*СРЗП!H4*12/1000</f>
        <v>0</v>
      </c>
      <c r="M4" s="11">
        <v>520371.075</v>
      </c>
      <c r="N4" s="39">
        <v>105</v>
      </c>
      <c r="O4" s="11">
        <f>M4*P4/100</f>
        <v>546389.62875</v>
      </c>
      <c r="P4" s="42">
        <v>105</v>
      </c>
    </row>
    <row r="5" spans="1:16" ht="15">
      <c r="A5" s="2" t="s">
        <v>10</v>
      </c>
      <c r="B5" s="21">
        <v>132358.9</v>
      </c>
      <c r="C5" s="21">
        <v>139231.8</v>
      </c>
      <c r="D5" s="31">
        <f>C5/B5%</f>
        <v>105.19262399430639</v>
      </c>
      <c r="E5" s="33">
        <f>148203.5</f>
        <v>148203.5</v>
      </c>
      <c r="F5" s="31">
        <f>E5/C5%</f>
        <v>106.44371472608988</v>
      </c>
      <c r="G5" s="33">
        <f>124710.6+5000</f>
        <v>129710.6</v>
      </c>
      <c r="H5" s="31">
        <f>G5/E5%</f>
        <v>87.52195460970894</v>
      </c>
      <c r="I5" s="11">
        <f>Числ!F5*СРЗП!F5*12/1000</f>
        <v>0</v>
      </c>
      <c r="J5" s="21">
        <v>139675.8</v>
      </c>
      <c r="K5" s="31">
        <f>J5/G5%</f>
        <v>107.68264120280068</v>
      </c>
      <c r="L5" s="11">
        <f>Числ!H5*СРЗП!H5*12/1000</f>
        <v>0</v>
      </c>
      <c r="M5" s="11">
        <v>146659.59</v>
      </c>
      <c r="N5" s="39">
        <v>105</v>
      </c>
      <c r="O5" s="11">
        <f>M5*P5/100</f>
        <v>153992.56949999998</v>
      </c>
      <c r="P5" s="42">
        <v>105</v>
      </c>
    </row>
    <row r="6" spans="1:16" ht="15">
      <c r="A6" s="7" t="s">
        <v>19</v>
      </c>
      <c r="B6" s="22">
        <f>SUM(B4:B5)</f>
        <v>623903.4</v>
      </c>
      <c r="C6" s="22">
        <f aca="true" t="shared" si="0" ref="C6:O6">SUM(C4:C5)</f>
        <v>641994.8</v>
      </c>
      <c r="D6" s="22"/>
      <c r="E6" s="22">
        <f t="shared" si="0"/>
        <v>590546.4</v>
      </c>
      <c r="F6" s="22"/>
      <c r="G6" s="22">
        <f t="shared" si="0"/>
        <v>589039.3</v>
      </c>
      <c r="H6" s="22"/>
      <c r="I6" s="8">
        <f t="shared" si="0"/>
        <v>0</v>
      </c>
      <c r="J6" s="22">
        <f>SUM(J4:J5)</f>
        <v>635267.3</v>
      </c>
      <c r="K6" s="22"/>
      <c r="L6" s="8">
        <f t="shared" si="0"/>
        <v>0</v>
      </c>
      <c r="M6" s="8">
        <f t="shared" si="0"/>
        <v>667030.665</v>
      </c>
      <c r="N6" s="40"/>
      <c r="O6" s="8">
        <f t="shared" si="0"/>
        <v>700382.19825</v>
      </c>
      <c r="P6" s="42">
        <v>105</v>
      </c>
    </row>
    <row r="7" spans="1:16" ht="15">
      <c r="A7" s="2" t="s">
        <v>0</v>
      </c>
      <c r="B7" s="21">
        <f>23605.1+9046+4979.2</f>
        <v>37630.299999999996</v>
      </c>
      <c r="C7" s="21">
        <f>24323.1+7939.3+4932</f>
        <v>37194.399999999994</v>
      </c>
      <c r="D7" s="31">
        <f aca="true" t="shared" si="1" ref="D7:D16">C7/B7%</f>
        <v>98.84162496711427</v>
      </c>
      <c r="E7" s="33">
        <v>35701.3</v>
      </c>
      <c r="F7" s="31">
        <f aca="true" t="shared" si="2" ref="F7:F16">E7/C7%</f>
        <v>95.98568601724993</v>
      </c>
      <c r="G7" s="33">
        <v>33419.9</v>
      </c>
      <c r="H7" s="31">
        <f aca="true" t="shared" si="3" ref="H7:H16">G7/E7%</f>
        <v>93.60975650746612</v>
      </c>
      <c r="I7" s="11">
        <f>Числ!F7*СРЗП!F7*12/1000</f>
        <v>0</v>
      </c>
      <c r="J7" s="21">
        <v>35473.7</v>
      </c>
      <c r="K7" s="31">
        <f aca="true" t="shared" si="4" ref="K7:K16">J7/G7%</f>
        <v>106.14544029156279</v>
      </c>
      <c r="L7" s="11">
        <f>Числ!H7*СРЗП!H7*12/1000</f>
        <v>0</v>
      </c>
      <c r="M7" s="11">
        <v>36892.48</v>
      </c>
      <c r="N7" s="39">
        <v>104</v>
      </c>
      <c r="O7" s="11">
        <f>M7*P7/100</f>
        <v>38737.10400000001</v>
      </c>
      <c r="P7" s="42">
        <v>105</v>
      </c>
    </row>
    <row r="8" spans="1:16" ht="15">
      <c r="A8" s="2" t="s">
        <v>1</v>
      </c>
      <c r="B8" s="21">
        <v>128540.7</v>
      </c>
      <c r="C8" s="21">
        <v>133927</v>
      </c>
      <c r="D8" s="31">
        <f t="shared" si="1"/>
        <v>104.19034593712342</v>
      </c>
      <c r="E8" s="33">
        <v>154388.9</v>
      </c>
      <c r="F8" s="31">
        <f t="shared" si="2"/>
        <v>115.27839793320241</v>
      </c>
      <c r="G8" s="33">
        <f>164501.5</f>
        <v>164501.5</v>
      </c>
      <c r="H8" s="31">
        <f t="shared" si="3"/>
        <v>106.55008229218552</v>
      </c>
      <c r="I8" s="11">
        <f>Числ!F8*СРЗП!F8*12/1000</f>
        <v>0</v>
      </c>
      <c r="J8" s="33">
        <f>179422.7</f>
        <v>179422.7</v>
      </c>
      <c r="K8" s="31">
        <f t="shared" si="4"/>
        <v>109.07055558763902</v>
      </c>
      <c r="L8" s="11">
        <f>Числ!H8*СРЗП!H8*12/1000</f>
        <v>0</v>
      </c>
      <c r="M8" s="11">
        <v>188393.83</v>
      </c>
      <c r="N8" s="39">
        <v>105</v>
      </c>
      <c r="O8" s="11">
        <f aca="true" t="shared" si="5" ref="O8:O16">M8*P8/100</f>
        <v>197813.52149999997</v>
      </c>
      <c r="P8" s="42">
        <v>105</v>
      </c>
    </row>
    <row r="9" spans="1:16" ht="15">
      <c r="A9" s="2" t="s">
        <v>2</v>
      </c>
      <c r="B9" s="21">
        <v>35716.9</v>
      </c>
      <c r="C9" s="21">
        <v>33969.6</v>
      </c>
      <c r="D9" s="31">
        <f t="shared" si="1"/>
        <v>95.10791810039504</v>
      </c>
      <c r="E9" s="33">
        <v>36079.6</v>
      </c>
      <c r="F9" s="31">
        <f t="shared" si="2"/>
        <v>106.21143610757855</v>
      </c>
      <c r="G9" s="33">
        <v>32224.6</v>
      </c>
      <c r="H9" s="31">
        <f t="shared" si="3"/>
        <v>89.3152917438109</v>
      </c>
      <c r="I9" s="11">
        <f>Числ!F9*СРЗП!F9*12/1000</f>
        <v>0</v>
      </c>
      <c r="J9" s="33">
        <f>34407.4</f>
        <v>34407.4</v>
      </c>
      <c r="K9" s="31">
        <f t="shared" si="4"/>
        <v>106.77370704368712</v>
      </c>
      <c r="L9" s="11">
        <f>Числ!H9*СРЗП!H9*12/1000</f>
        <v>0</v>
      </c>
      <c r="M9" s="11">
        <v>36127.77</v>
      </c>
      <c r="N9" s="39">
        <v>105</v>
      </c>
      <c r="O9" s="11">
        <f t="shared" si="5"/>
        <v>37934.1585</v>
      </c>
      <c r="P9" s="42">
        <v>105</v>
      </c>
    </row>
    <row r="10" spans="1:16" ht="15">
      <c r="A10" s="2" t="s">
        <v>3</v>
      </c>
      <c r="B10" s="21">
        <v>9371</v>
      </c>
      <c r="C10" s="21">
        <v>7475.9</v>
      </c>
      <c r="D10" s="31">
        <f t="shared" si="1"/>
        <v>79.77697150784334</v>
      </c>
      <c r="E10" s="33">
        <v>7601.4</v>
      </c>
      <c r="F10" s="31">
        <f t="shared" si="2"/>
        <v>101.67872764483205</v>
      </c>
      <c r="G10" s="33">
        <v>6077.4</v>
      </c>
      <c r="H10" s="31">
        <f t="shared" si="3"/>
        <v>79.95106164653879</v>
      </c>
      <c r="I10" s="11">
        <f>Числ!F10*СРЗП!F10*12/1000</f>
        <v>0</v>
      </c>
      <c r="J10" s="33">
        <f>6444.8</f>
        <v>6444.8</v>
      </c>
      <c r="K10" s="31">
        <f t="shared" si="4"/>
        <v>106.04534833975056</v>
      </c>
      <c r="L10" s="11">
        <f>Числ!H10*СРЗП!H10*12/1000</f>
        <v>0</v>
      </c>
      <c r="M10" s="11">
        <v>6702.59</v>
      </c>
      <c r="N10" s="39">
        <v>104</v>
      </c>
      <c r="O10" s="11">
        <f t="shared" si="5"/>
        <v>7037.719500000001</v>
      </c>
      <c r="P10" s="42">
        <v>105</v>
      </c>
    </row>
    <row r="11" spans="1:16" ht="15">
      <c r="A11" s="2" t="s">
        <v>4</v>
      </c>
      <c r="B11" s="21">
        <v>22912.9</v>
      </c>
      <c r="C11" s="21">
        <v>24843</v>
      </c>
      <c r="D11" s="31">
        <f t="shared" si="1"/>
        <v>108.42363908540602</v>
      </c>
      <c r="E11" s="33">
        <v>21283.4</v>
      </c>
      <c r="F11" s="31">
        <f t="shared" si="2"/>
        <v>85.67161775952985</v>
      </c>
      <c r="G11" s="33">
        <v>22188.9</v>
      </c>
      <c r="H11" s="31">
        <f t="shared" si="3"/>
        <v>104.25448941428532</v>
      </c>
      <c r="I11" s="11">
        <f>Числ!F11*СРЗП!F11*12/1000</f>
        <v>0</v>
      </c>
      <c r="J11" s="33">
        <v>23581.9</v>
      </c>
      <c r="K11" s="31">
        <f t="shared" si="4"/>
        <v>106.2779137316406</v>
      </c>
      <c r="L11" s="11">
        <f>Числ!H11*СРЗП!H11*12/1000</f>
        <v>0</v>
      </c>
      <c r="M11" s="11">
        <v>24760.99</v>
      </c>
      <c r="N11" s="39">
        <v>105</v>
      </c>
      <c r="O11" s="11">
        <f t="shared" si="5"/>
        <v>25999.039500000003</v>
      </c>
      <c r="P11" s="42">
        <v>105</v>
      </c>
    </row>
    <row r="12" spans="1:16" ht="15">
      <c r="A12" s="2" t="s">
        <v>11</v>
      </c>
      <c r="B12" s="21">
        <v>95834.7</v>
      </c>
      <c r="C12" s="21">
        <v>120385</v>
      </c>
      <c r="D12" s="31">
        <f t="shared" si="1"/>
        <v>125.61733902229568</v>
      </c>
      <c r="E12" s="33">
        <f>140989</f>
        <v>140989</v>
      </c>
      <c r="F12" s="31">
        <f t="shared" si="2"/>
        <v>117.11508908917224</v>
      </c>
      <c r="G12" s="33">
        <v>145021.7</v>
      </c>
      <c r="H12" s="31">
        <f t="shared" si="3"/>
        <v>102.86029406549447</v>
      </c>
      <c r="I12" s="11">
        <f>Числ!F12*СРЗП!F12*12/1000</f>
        <v>0</v>
      </c>
      <c r="J12" s="33">
        <f>159950.3</f>
        <v>159950.3</v>
      </c>
      <c r="K12" s="31">
        <f t="shared" si="4"/>
        <v>110.29404564971999</v>
      </c>
      <c r="L12" s="11">
        <f>Числ!H12*СРЗП!H12*12/1000</f>
        <v>0</v>
      </c>
      <c r="M12" s="11">
        <v>166348.312</v>
      </c>
      <c r="N12" s="39">
        <v>104</v>
      </c>
      <c r="O12" s="11">
        <f t="shared" si="5"/>
        <v>174665.7276</v>
      </c>
      <c r="P12" s="42">
        <v>105</v>
      </c>
    </row>
    <row r="13" spans="1:16" ht="15">
      <c r="A13" s="2" t="s">
        <v>5</v>
      </c>
      <c r="B13" s="21">
        <v>53079.7</v>
      </c>
      <c r="C13" s="21">
        <v>60841.8</v>
      </c>
      <c r="D13" s="31">
        <f t="shared" si="1"/>
        <v>114.6234812932251</v>
      </c>
      <c r="E13" s="33">
        <v>64001</v>
      </c>
      <c r="F13" s="31">
        <f t="shared" si="2"/>
        <v>105.19248279965419</v>
      </c>
      <c r="G13" s="33">
        <v>66056</v>
      </c>
      <c r="H13" s="31">
        <f t="shared" si="3"/>
        <v>103.21088732988547</v>
      </c>
      <c r="I13" s="11">
        <f>Числ!F13*СРЗП!F13*12/1000</f>
        <v>0</v>
      </c>
      <c r="J13" s="33">
        <f>70926</f>
        <v>70926</v>
      </c>
      <c r="K13" s="31">
        <f t="shared" si="4"/>
        <v>107.37253239675428</v>
      </c>
      <c r="L13" s="11">
        <f>Числ!H13*СРЗП!H13*12/1000</f>
        <v>0</v>
      </c>
      <c r="M13" s="11">
        <v>74472.3</v>
      </c>
      <c r="N13" s="39">
        <v>105</v>
      </c>
      <c r="O13" s="11">
        <f t="shared" si="5"/>
        <v>78195.915</v>
      </c>
      <c r="P13" s="42">
        <v>105</v>
      </c>
    </row>
    <row r="14" spans="1:16" ht="15">
      <c r="A14" s="2" t="s">
        <v>12</v>
      </c>
      <c r="B14" s="21">
        <v>14980</v>
      </c>
      <c r="C14" s="21">
        <v>16869.8</v>
      </c>
      <c r="D14" s="31">
        <f t="shared" si="1"/>
        <v>112.61548731642188</v>
      </c>
      <c r="E14" s="33">
        <v>16375.9</v>
      </c>
      <c r="F14" s="31">
        <f t="shared" si="2"/>
        <v>97.07228301461785</v>
      </c>
      <c r="G14" s="33">
        <f>15514.2</f>
        <v>15514.2</v>
      </c>
      <c r="H14" s="31">
        <f t="shared" si="3"/>
        <v>94.7379991328721</v>
      </c>
      <c r="I14" s="11">
        <f>Числ!F14*СРЗП!F14*12/1000</f>
        <v>0</v>
      </c>
      <c r="J14" s="33">
        <f>16415.3</f>
        <v>16415.3</v>
      </c>
      <c r="K14" s="31">
        <f t="shared" si="4"/>
        <v>105.80822730143997</v>
      </c>
      <c r="L14" s="11">
        <f>Числ!H14*СРЗП!H14*12/1000</f>
        <v>0</v>
      </c>
      <c r="M14" s="11">
        <v>16289.91</v>
      </c>
      <c r="N14" s="39">
        <v>105</v>
      </c>
      <c r="O14" s="11">
        <f t="shared" si="5"/>
        <v>17104.4055</v>
      </c>
      <c r="P14" s="42">
        <v>105</v>
      </c>
    </row>
    <row r="15" spans="1:16" ht="15">
      <c r="A15" s="2" t="s">
        <v>13</v>
      </c>
      <c r="B15" s="21">
        <v>908571.3</v>
      </c>
      <c r="C15" s="21">
        <v>924439.1</v>
      </c>
      <c r="D15" s="31">
        <f t="shared" si="1"/>
        <v>101.7464562219828</v>
      </c>
      <c r="E15" s="33">
        <f>1096003.7</f>
        <v>1096003.7</v>
      </c>
      <c r="F15" s="31">
        <f t="shared" si="2"/>
        <v>118.55877796601204</v>
      </c>
      <c r="G15" s="37">
        <f>1242298.5-34.6</f>
        <v>1242263.9</v>
      </c>
      <c r="H15" s="31">
        <f t="shared" si="3"/>
        <v>113.34486370803309</v>
      </c>
      <c r="I15" s="11">
        <f>Числ!F15*СРЗП!F15*12/1000</f>
        <v>0</v>
      </c>
      <c r="J15" s="33">
        <f>1305094.3</f>
        <v>1305094.3</v>
      </c>
      <c r="K15" s="31">
        <f t="shared" si="4"/>
        <v>105.0577337069845</v>
      </c>
      <c r="L15" s="11">
        <f>Числ!H15*СРЗП!H15*12/1000</f>
        <v>0</v>
      </c>
      <c r="M15" s="11">
        <v>1371386.12</v>
      </c>
      <c r="N15" s="39">
        <v>105.079</v>
      </c>
      <c r="O15" s="11">
        <f t="shared" si="5"/>
        <v>1439955.4260000002</v>
      </c>
      <c r="P15" s="42">
        <v>105</v>
      </c>
    </row>
    <row r="16" spans="1:16" ht="15">
      <c r="A16" s="2" t="s">
        <v>14</v>
      </c>
      <c r="B16" s="21">
        <v>9183.8</v>
      </c>
      <c r="C16" s="21">
        <v>9639.6</v>
      </c>
      <c r="D16" s="31">
        <f t="shared" si="1"/>
        <v>104.96308717524337</v>
      </c>
      <c r="E16" s="33">
        <v>9249.4</v>
      </c>
      <c r="F16" s="31">
        <f t="shared" si="2"/>
        <v>95.95211419560977</v>
      </c>
      <c r="G16" s="33">
        <v>6982.6</v>
      </c>
      <c r="H16" s="31">
        <f t="shared" si="3"/>
        <v>75.49246437606764</v>
      </c>
      <c r="I16" s="11">
        <f>Числ!F16*СРЗП!F16*12/1000</f>
        <v>0</v>
      </c>
      <c r="J16" s="33">
        <f>7375.8</f>
        <v>7375.8</v>
      </c>
      <c r="K16" s="31">
        <f t="shared" si="4"/>
        <v>105.6311402629393</v>
      </c>
      <c r="L16" s="11">
        <f>Числ!H16*СРЗП!H16*12/1000</f>
        <v>0</v>
      </c>
      <c r="M16" s="11">
        <v>7331.73</v>
      </c>
      <c r="N16" s="39">
        <v>105</v>
      </c>
      <c r="O16" s="11">
        <f t="shared" si="5"/>
        <v>7698.316499999999</v>
      </c>
      <c r="P16" s="42">
        <v>105</v>
      </c>
    </row>
    <row r="17" spans="1:16" ht="15">
      <c r="A17" s="7" t="s">
        <v>20</v>
      </c>
      <c r="B17" s="23">
        <f aca="true" t="shared" si="6" ref="B17:O17">SUM(B7:B16)</f>
        <v>1315821.3</v>
      </c>
      <c r="C17" s="23">
        <f t="shared" si="6"/>
        <v>1369585.2000000002</v>
      </c>
      <c r="D17" s="23"/>
      <c r="E17" s="23">
        <f t="shared" si="6"/>
        <v>1581673.5999999999</v>
      </c>
      <c r="F17" s="23"/>
      <c r="G17" s="23">
        <f t="shared" si="6"/>
        <v>1734250.7</v>
      </c>
      <c r="H17" s="23"/>
      <c r="I17" s="12">
        <f t="shared" si="6"/>
        <v>0</v>
      </c>
      <c r="J17" s="23">
        <f t="shared" si="6"/>
        <v>1839092.2</v>
      </c>
      <c r="K17" s="23"/>
      <c r="L17" s="12">
        <f t="shared" si="6"/>
        <v>0</v>
      </c>
      <c r="M17" s="12">
        <f t="shared" si="6"/>
        <v>1928706.0320000001</v>
      </c>
      <c r="N17" s="12">
        <f t="shared" si="6"/>
        <v>1047.079</v>
      </c>
      <c r="O17" s="12">
        <f t="shared" si="6"/>
        <v>2025141.3336000002</v>
      </c>
      <c r="P17" s="42">
        <v>105</v>
      </c>
    </row>
    <row r="18" spans="1:16" ht="15">
      <c r="A18" s="9" t="s">
        <v>8</v>
      </c>
      <c r="B18" s="24">
        <f aca="true" t="shared" si="7" ref="B18:L18">SUM(B17,B6)</f>
        <v>1939724.7000000002</v>
      </c>
      <c r="C18" s="24">
        <f t="shared" si="7"/>
        <v>2011580.0000000002</v>
      </c>
      <c r="D18" s="31">
        <f>C18/B18%</f>
        <v>103.7044071254029</v>
      </c>
      <c r="E18" s="24">
        <f t="shared" si="7"/>
        <v>2172220</v>
      </c>
      <c r="F18" s="31">
        <f>E18/C18%</f>
        <v>107.98576243549844</v>
      </c>
      <c r="G18" s="38">
        <f t="shared" si="7"/>
        <v>2323290</v>
      </c>
      <c r="H18" s="31">
        <f>G18/E18%</f>
        <v>106.95463627072763</v>
      </c>
      <c r="I18" s="13">
        <f t="shared" si="7"/>
        <v>0</v>
      </c>
      <c r="J18" s="24">
        <f t="shared" si="7"/>
        <v>2474359.5</v>
      </c>
      <c r="K18" s="31">
        <f>J18/G18%</f>
        <v>106.50239531009903</v>
      </c>
      <c r="L18" s="13">
        <f t="shared" si="7"/>
        <v>0</v>
      </c>
      <c r="M18" s="13">
        <f>SUM(M6,M17)</f>
        <v>2595736.697</v>
      </c>
      <c r="N18" s="13">
        <v>105</v>
      </c>
      <c r="O18" s="13">
        <f>O6+O17</f>
        <v>2725523.5318500004</v>
      </c>
      <c r="P18">
        <v>105</v>
      </c>
    </row>
    <row r="19" spans="5:15" ht="15">
      <c r="E19" s="34"/>
      <c r="G19" s="29"/>
      <c r="H19" s="29"/>
      <c r="J19" s="29"/>
      <c r="K19" s="29"/>
      <c r="M19" s="41"/>
      <c r="O19" s="13"/>
    </row>
    <row r="20" ht="15">
      <c r="A20" s="6"/>
    </row>
  </sheetData>
  <sheetProtection/>
  <mergeCells count="12">
    <mergeCell ref="A2:A3"/>
    <mergeCell ref="A1:O1"/>
    <mergeCell ref="B2:B3"/>
    <mergeCell ref="C2:C3"/>
    <mergeCell ref="E2:E3"/>
    <mergeCell ref="G2:G3"/>
    <mergeCell ref="D2:D3"/>
    <mergeCell ref="F2:F3"/>
    <mergeCell ref="H2:H3"/>
    <mergeCell ref="J2:K2"/>
    <mergeCell ref="M2:N2"/>
    <mergeCell ref="O2:P2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федоркова_л</dc:creator>
  <cp:keywords/>
  <dc:description/>
  <cp:lastModifiedBy>Мария Двоеглазова</cp:lastModifiedBy>
  <cp:lastPrinted>2017-11-09T14:35:37Z</cp:lastPrinted>
  <dcterms:created xsi:type="dcterms:W3CDTF">2016-07-21T07:03:45Z</dcterms:created>
  <dcterms:modified xsi:type="dcterms:W3CDTF">2017-12-15T13:22:47Z</dcterms:modified>
  <cp:category/>
  <cp:version/>
  <cp:contentType/>
  <cp:contentStatus/>
</cp:coreProperties>
</file>