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856" firstSheet="1" activeTab="1"/>
  </bookViews>
  <sheets>
    <sheet name="2010-2011гг" sheetId="1" r:id="rId1"/>
    <sheet name="2017 Г" sheetId="2" r:id="rId2"/>
  </sheets>
  <definedNames/>
  <calcPr fullCalcOnLoad="1"/>
</workbook>
</file>

<file path=xl/sharedStrings.xml><?xml version="1.0" encoding="utf-8"?>
<sst xmlns="http://schemas.openxmlformats.org/spreadsheetml/2006/main" count="846" uniqueCount="287">
  <si>
    <t>Мезенская средняя школа</t>
  </si>
  <si>
    <t>Каменская средняя шлола</t>
  </si>
  <si>
    <t>Дорогорская средняя</t>
  </si>
  <si>
    <t>Долгощельская средняя</t>
  </si>
  <si>
    <t>Быченская средняя</t>
  </si>
  <si>
    <t>Койденская средняя</t>
  </si>
  <si>
    <t>Соянская средняя</t>
  </si>
  <si>
    <t>Жердская основная</t>
  </si>
  <si>
    <t>Козьмогородская основная</t>
  </si>
  <si>
    <t>Целегорская основная</t>
  </si>
  <si>
    <t>Азапольская основная</t>
  </si>
  <si>
    <t>Мосеевская основная</t>
  </si>
  <si>
    <t>Сафоновская основная</t>
  </si>
  <si>
    <t>Совпольская основная</t>
  </si>
  <si>
    <t>Ручьевская основная</t>
  </si>
  <si>
    <t>Улыбка</t>
  </si>
  <si>
    <t>Журавушка</t>
  </si>
  <si>
    <t>ВСЕГО</t>
  </si>
  <si>
    <t>Д Д Т</t>
  </si>
  <si>
    <t>Д Ю С Ш</t>
  </si>
  <si>
    <t>ВСЕГО  по  ДОУ</t>
  </si>
  <si>
    <t>Всего  по  школам</t>
  </si>
  <si>
    <t>ВСЕГО  по  внешк.</t>
  </si>
  <si>
    <t>№ п\п</t>
  </si>
  <si>
    <t>УЧРЕЖДЕНИЯ</t>
  </si>
  <si>
    <t>штатное по окладам</t>
  </si>
  <si>
    <t>Тарификация  за часы</t>
  </si>
  <si>
    <t>Доплаты за усл. труда, ночн. вр., работа в праздн. дни</t>
  </si>
  <si>
    <t>Надбавки и  РК</t>
  </si>
  <si>
    <t>на  год</t>
  </si>
  <si>
    <t>в  месяц</t>
  </si>
  <si>
    <t>Материальная     помощь</t>
  </si>
  <si>
    <t>ДОУ</t>
  </si>
  <si>
    <t>Надтарифный  фонд</t>
  </si>
  <si>
    <t>На замену на период отпуска</t>
  </si>
  <si>
    <t>ШКОЛЫ</t>
  </si>
  <si>
    <t>УДО</t>
  </si>
  <si>
    <t>ВСЕГО по образован.</t>
  </si>
  <si>
    <t>На повыш. Разрядов с 7 по 11 при аттестации</t>
  </si>
  <si>
    <t>ИТОГО  на год  (211)</t>
  </si>
  <si>
    <t>2%      премиал фонд     (ДОУ),  УКП  (школы)</t>
  </si>
  <si>
    <t>Мез.нач.шк.-дет.сад</t>
  </si>
  <si>
    <t>ст.211         в тыс.руб.</t>
  </si>
  <si>
    <t>ст.213      (ЕСН)</t>
  </si>
  <si>
    <t>ВСЕГО        ФОТ</t>
  </si>
  <si>
    <t>Фонд   оплаты   труда   на   2010   год   по   образованию  Мезенского  района</t>
  </si>
  <si>
    <t>лагерь "Стрела"</t>
  </si>
  <si>
    <t>РУО  (аппарат )</t>
  </si>
  <si>
    <t>РУО  ( отдел опёки )</t>
  </si>
  <si>
    <t>ВСЕГО по РУО</t>
  </si>
  <si>
    <t>и в 1,09 на 2010 год, по управлению сделана индексация в 1,065 к уровню 2009 года.</t>
  </si>
  <si>
    <t>Примечание  : по учреждениям образования взяты исходные данные 2008 года, сделана индексация  в 1,10 на 2009 год</t>
  </si>
  <si>
    <t>Фонд   оплаты   труда   на   2011   год   по   образованию  Мезенского  района</t>
  </si>
  <si>
    <t>Примечание  : по учреждениям образования взяты исходные данные 2008 года, сделана индексация  в 1,10 на 2009 год,</t>
  </si>
  <si>
    <t xml:space="preserve"> в 1,09 на 2010 год и в 1,090 на 2011 год, по управлению сделана индексация в 1,065 к уровню 2009 года на 2010 год</t>
  </si>
  <si>
    <t>и в 1,082 к 2010 году на 2011 год.</t>
  </si>
  <si>
    <t>ПЕРЕЧЕНЬ</t>
  </si>
  <si>
    <t>Ответственный исполнитель, соисполнители, участники</t>
  </si>
  <si>
    <t>Источник финансирования</t>
  </si>
  <si>
    <t>Цель программы: Повышение доступности качественного образования, соответствующего потребностям общества и каждого гражданина.</t>
  </si>
  <si>
    <t>Создание условий для модернизации и инновационного развития муниципальной системы образования, обеспечивающей равные права граждан на получение качественного общего образования; эффективное использование ресурсов.</t>
  </si>
  <si>
    <t>Подпрограмма 1.  Повышение доступности и качества дошкольного образования.</t>
  </si>
  <si>
    <t>Управление образования</t>
  </si>
  <si>
    <t>ИТОГО</t>
  </si>
  <si>
    <t>По требованию.</t>
  </si>
  <si>
    <t>Обеспечение выполнения требований санитарных правил и норм, пожарной безопасности в образовательных учреждениях</t>
  </si>
  <si>
    <t>в том числе:</t>
  </si>
  <si>
    <t>областной бюджет</t>
  </si>
  <si>
    <t>районный бюджет</t>
  </si>
  <si>
    <t>внебюджетные средства</t>
  </si>
  <si>
    <r>
      <t xml:space="preserve">1.3. </t>
    </r>
    <r>
      <rPr>
        <sz val="10"/>
        <color indexed="8"/>
        <rFont val="Times New Roman"/>
        <family val="1"/>
      </rPr>
      <t>Проведение смотров-конкурсов среди структурных подразделений «Детский сад года»;</t>
    </r>
  </si>
  <si>
    <t>среди детей дошкольного возраста.</t>
  </si>
  <si>
    <t>Рейтинговая оценка деятельности структурных подразделений.</t>
  </si>
  <si>
    <t>1.4. Расширение числа детских творческих объединений, кружков на базе детских садов</t>
  </si>
  <si>
    <t>Развитие творческого и интеллектуального потенциала дошкольников</t>
  </si>
  <si>
    <t>1.5. Оснащение детских садов развивающими играми, оборудованием, мебелью</t>
  </si>
  <si>
    <t>1.6. Приобретение спортивного оборудования и инвентаря</t>
  </si>
  <si>
    <t>Образовательные учреждения</t>
  </si>
  <si>
    <t>Обеспечение образовательной деятельности учреждении, текущие расходы.</t>
  </si>
  <si>
    <t>Подпрограмма 2.  Повышение доступности и качества общего образования.</t>
  </si>
  <si>
    <t>2..2. Оснащение школьных автобусов спутниковой навигационной системой ГЛОНАС (4 автобуса)</t>
  </si>
  <si>
    <r>
      <t>районный бюджет</t>
    </r>
    <r>
      <rPr>
        <b/>
        <sz val="10"/>
        <rFont val="Times New Roman"/>
        <family val="1"/>
      </rPr>
      <t xml:space="preserve"> ИТОГО</t>
    </r>
  </si>
  <si>
    <t>2.3. Приобретение мебели и постельных принадлежностей в пришкольные интернаты.</t>
  </si>
  <si>
    <t>Субсидия на питание в пришкольных интернатах</t>
  </si>
  <si>
    <t>2.4.  Внедрение электронных дневников и журналов .</t>
  </si>
  <si>
    <t>0</t>
  </si>
  <si>
    <t>Внебюджетные средства</t>
  </si>
  <si>
    <t>МБОУ «Совпольская ОШ»</t>
  </si>
  <si>
    <t>Образовательные учреждения.</t>
  </si>
  <si>
    <t>Итого</t>
  </si>
  <si>
    <t>В т.ч.</t>
  </si>
  <si>
    <t>Районный бюджет</t>
  </si>
  <si>
    <t>Областной бюджет</t>
  </si>
  <si>
    <t>Подпрограмма 3.  Повышение доступности и качества дополнительного образования.</t>
  </si>
  <si>
    <t>-Районный туристический слет</t>
  </si>
  <si>
    <t>-Районный слет штаба активистов школ</t>
  </si>
  <si>
    <t>-Фестиваль «Дружба»</t>
  </si>
  <si>
    <t>-Фестиваль»Лучик солнца золотой»</t>
  </si>
  <si>
    <t>-Конкурс детского творчества «Радость творчества»</t>
  </si>
  <si>
    <t>-Районная выставка декоративно-прикладного творчества</t>
  </si>
  <si>
    <t>-Интеллектуально-познавательная игра «Что, где, когда?» и др.)</t>
  </si>
  <si>
    <t>3.4. Проведение районной военно-патриотической игры «Зарница»</t>
  </si>
  <si>
    <t>3.5. Организационно-методическое сопровождение:</t>
  </si>
  <si>
    <t>- повышение уровня методической работы.</t>
  </si>
  <si>
    <t>Организация и проведение курсовой подготовки  педагогических работников.</t>
  </si>
  <si>
    <t>3.6. Ресурсное обеспечение</t>
  </si>
  <si>
    <t>- приобретение необходимого оборудования для учебно-воспитательного процесса, для работы кружков.</t>
  </si>
  <si>
    <t>Информатизация образовательного процесса учреждений дополнительного образования (МБОУ ДОД «Дом детского творчества»).</t>
  </si>
  <si>
    <t>3.7. Проведение 5-ти дневных сборов с учащимися 10 классов.</t>
  </si>
  <si>
    <t>Развитие материально-технической базы для занятий по основам военной службы и физическому воспитанию.</t>
  </si>
  <si>
    <t>3.11. Развитие спортивной материально-технической базы МБОУ ДОД «ДЮСШ» г.Мезень.:</t>
  </si>
  <si>
    <t>1.Приобретение спортивного инвентаря</t>
  </si>
  <si>
    <t>- приобретение спортивной формы</t>
  </si>
  <si>
    <t>- приобретение спортивно-технического инвентаря.</t>
  </si>
  <si>
    <t>2. Текущий ремонт здания.</t>
  </si>
  <si>
    <t>Обустройство лыжного стадиона.</t>
  </si>
  <si>
    <t>Обустройство лыжной базы Чупров.</t>
  </si>
  <si>
    <t>Сертификация спортивных объектов.</t>
  </si>
  <si>
    <t>Подпрограмма 4. Создание в образовательных учреждениях современных и безопасных условий обучения и воспитания, обеспечивающих переход на ФГОС второго поколения.</t>
  </si>
  <si>
    <t>4.1. Установка локальных сетей в ОУ (выполнение работ, приобретение материалов и оборудования)</t>
  </si>
  <si>
    <t>4.2. Приобретение мебели и оборудования для учебных кабинетов</t>
  </si>
  <si>
    <t>2016 – МБОУ «Долгощельская СОШ»</t>
  </si>
  <si>
    <t>2016 – МБОУ «Каменская СОШ»</t>
  </si>
  <si>
    <t>2017 – МБОУ «Мосеевская  ОШ»</t>
  </si>
  <si>
    <t>4.3. Приобретение спортивного инвентаря и оборудования</t>
  </si>
  <si>
    <t>2017 – МБОУ «Мосеевская ООШ»</t>
  </si>
  <si>
    <t>ИТОГО ПО ПРОГРАММЕ 4.</t>
  </si>
  <si>
    <t>Проезд учащихся, зачисленных в очно-заочную областную школу для одаренных детей к месту учебы.</t>
  </si>
  <si>
    <t>Управление</t>
  </si>
  <si>
    <t>образования</t>
  </si>
  <si>
    <t>ДЮСШ</t>
  </si>
  <si>
    <t>-гонка мужества</t>
  </si>
  <si>
    <t>-гонка на приз А.Г.Торцева</t>
  </si>
  <si>
    <t>-гонка на приз В.А.Федоркова</t>
  </si>
  <si>
    <t>-гонка на приз Т.Г.Кисляковой-Радюшиной</t>
  </si>
  <si>
    <t>5.9. Участие в Областной Спартакиаде школьников</t>
  </si>
  <si>
    <t>5.11. Обустройство освещения поля для мини-футбола с искусственным покрытием</t>
  </si>
  <si>
    <t>5.12. Приобретение спортивного оборудования.</t>
  </si>
  <si>
    <t>6.1. Повышение квалификации педагогических и руководящих кадров образовательных учреждений</t>
  </si>
  <si>
    <t>6.5. Проведение конкурса педагогического мастерства «Воспитать человека»</t>
  </si>
  <si>
    <t>7.1. Проведение районных конкурсов среди детей дошкольного возраста</t>
  </si>
  <si>
    <t>7.2. Приобретение материалов и строительство теневых навесов. Установка теневых навесов</t>
  </si>
  <si>
    <t>7.3. Оснащение муниципальных  образовательных учреждений медицинским оборудованием</t>
  </si>
  <si>
    <t>7.5. Оснащение пищеблоков образовательных учреждений оборудованием, инвентарем, посудой</t>
  </si>
  <si>
    <t>7.6. Ремонт пищеблоков и обеденных залов (текущий и капитальный)</t>
  </si>
  <si>
    <t>7.7. Оснащение школьных столовых мебелью</t>
  </si>
  <si>
    <t>7.8. Разработка рациона питания дошкольников и учащихся школ</t>
  </si>
  <si>
    <t>7.9.Обеспечение питания обучающихся с ограниченными возможностями здоровья.</t>
  </si>
  <si>
    <t>Управление образования, образовательные учреждения.</t>
  </si>
  <si>
    <t>7.10.Оснащение муниципальных образовательных учреждений системой автоматического вывода сигнала о пожаре на пульт подразделения , ответственного за их противопожарную безопасность.</t>
  </si>
  <si>
    <t>Реализация комплекса противопожарных мероприятий:</t>
  </si>
  <si>
    <t>-замена устаревших моделей огнетушителей на современные в образовательных учреждениях</t>
  </si>
  <si>
    <t>-оборудование путей эвакуации негорючими материалами, обработка чердачных перекрытий, замеры сопротивления, ремонт  эл. проводки в муниципальных образовательных учреждениях.</t>
  </si>
  <si>
    <t>7.11. Установка кнопки тревожной сигнализации, системы видеонаблюдения</t>
  </si>
  <si>
    <t>7.12.Проведение энергосберегающих мероприятий зданий образовательных учреждений.</t>
  </si>
  <si>
    <t>400 000</t>
  </si>
  <si>
    <t>7.18. Оснащение общеобразовательных учреждений и детских садов мобильными автогородками</t>
  </si>
  <si>
    <t>7.19. Приобретение во все общеобразовательные учреждения наглядной агитации, методической литературы, видеоматериалов, учебных пособий для качественного обучения детей безопасному поведению на дорогах</t>
  </si>
  <si>
    <t>7.20. Приобретение светоотражателей для учащихся начальных классов школ и воспитанников детских садов МО «Мезенский муниципальный район»</t>
  </si>
  <si>
    <t>7.23. Ремонт образовательных учреждений</t>
  </si>
  <si>
    <t>(включая проверку сметной документации и др.)</t>
  </si>
  <si>
    <t>Оборудование ограждениями территорий муниципальных образовательных организаций.</t>
  </si>
  <si>
    <t>Итого по муниципальной программе</t>
  </si>
  <si>
    <t>итого</t>
  </si>
  <si>
    <t>Объемы финансирования</t>
  </si>
  <si>
    <t xml:space="preserve"> Оснащение детских садов развивающими играми, оборудованием, мебелью</t>
  </si>
  <si>
    <t xml:space="preserve">  Приобретение спортивного оборудования и инвентаря</t>
  </si>
  <si>
    <t>федер.бюджет</t>
  </si>
  <si>
    <t>Федеральный бюджет</t>
  </si>
  <si>
    <t>Обеспечение безопасности перевозок школьников</t>
  </si>
  <si>
    <t>2016 г.-МБОУ «Каменская СОШ</t>
  </si>
  <si>
    <t>МБОУ «Дорогорская СОШ.</t>
  </si>
  <si>
    <t>2016 – МБОУ «яООШ»</t>
  </si>
  <si>
    <t>2017– МБОУ «СОШ»</t>
  </si>
  <si>
    <t>МБОУ «Дорогорская СОШ»</t>
  </si>
  <si>
    <t>МБОУ «Койденская СОШ»</t>
  </si>
  <si>
    <t>Информационно-патриотическое  развитие учащихся</t>
  </si>
  <si>
    <t>Повышение квалификации педагогов дополнительного образования</t>
  </si>
  <si>
    <t>Обеспечение учебно-воспитательного процесса необходимым оборудованием и инвентарем</t>
  </si>
  <si>
    <t>Обеспечение образовательной деятельности учреждения, текущие расходы</t>
  </si>
  <si>
    <t>Реализация программ дополнительного образования детей в общеобразовательных учреждениях</t>
  </si>
  <si>
    <t>Обеспечение современным инвентарем и оборудованием</t>
  </si>
  <si>
    <t>Создание условий</t>
  </si>
  <si>
    <t>Ремонт образовательных учреждений</t>
  </si>
  <si>
    <t>(включая проверку сметной документации)</t>
  </si>
  <si>
    <t>Ограждения:</t>
  </si>
  <si>
    <t>2015г-МБОУ «Койденская СОШ»</t>
  </si>
  <si>
    <t>МБОУ «Дорогорсксая СОШ»</t>
  </si>
  <si>
    <t>2016г. МБОУ «Мосеевская ОШ</t>
  </si>
  <si>
    <t>федеральный бюджет</t>
  </si>
  <si>
    <t>ИТОГО по бюдж.</t>
  </si>
  <si>
    <t>работа с ЦЗН</t>
  </si>
  <si>
    <t>ВСЕГО ПО ПРОГРАММЕ</t>
  </si>
  <si>
    <t>БЮДЖЕТ+ВНЕБЮДЖЕТ</t>
  </si>
  <si>
    <t>1.2.Благотворительная помощь</t>
  </si>
  <si>
    <t>Проведение районного конкурса  «Безопасное колесо»</t>
  </si>
  <si>
    <t>в т.ч.</t>
  </si>
  <si>
    <t>- питание детей ОВЗ и  льготной категории</t>
  </si>
  <si>
    <t>-приобретение технологического оборудов.</t>
  </si>
  <si>
    <t>ИТОГО ПО ПОДПРОГОРАММЕ 1.</t>
  </si>
  <si>
    <t>-оснащение учебным оборудованием</t>
  </si>
  <si>
    <t>-Спартакиада</t>
  </si>
  <si>
    <t>3.1. Приобретение материалов и проведение ремонтных работ с целью обеспечения выполнения требований и предписаний надзорных органов</t>
  </si>
  <si>
    <t>3.2. Развитие спортивной материально-технической базы МБОУ ДОД «ДЮСШ» г.Мезень.:</t>
  </si>
  <si>
    <r>
      <t>3.3.</t>
    </r>
    <r>
      <rPr>
        <sz val="10"/>
        <rFont val="Times New Roman"/>
        <family val="1"/>
      </rPr>
      <t>Обеспечение деятельности  образовательных учреждений, реализующих программы дополнительного  образования .</t>
    </r>
  </si>
  <si>
    <t>3.5.Реализация программ дополнительного образования детей в общеобразовательных учреждениях.</t>
  </si>
  <si>
    <t>3.6.Меры социальной поддержки педагогическим работникам для предоставления компенсации расходов на оплату жилых помещений, отопления и освещения.</t>
  </si>
  <si>
    <t>Подпрограмма 4. Развитие системы выявления, поддержки и сопровождения одаренных и талантливых детей.</t>
  </si>
  <si>
    <t>4.1. Деятельность районной школы для одаренных детей по реализации интеллектуального потенциала одаренных детей.</t>
  </si>
  <si>
    <t>4.2.Проведение муниципального этапа Всероссийской олимпиады школьников.</t>
  </si>
  <si>
    <t>4.3. Участие в региональном, заключительном этапах Всероссийской олимпиады школьников.</t>
  </si>
  <si>
    <t>4.5.Гранты участникам, занявших призовые места на мероприятиях районного, областного, федерального уровня,.</t>
  </si>
  <si>
    <t>4.6. Проведение районной военно-патриотической игры «Зарница» и "Безопасное колесо"</t>
  </si>
  <si>
    <t>4.9. Участие в  областных соревнованиях</t>
  </si>
  <si>
    <t>Подпрограмма 5. Содействие повышению квалификации и переподготовки руководящих и педагогических кадров.</t>
  </si>
  <si>
    <t>5.1. Проведение совещания директоров и семинаров, круглых столов, научно-практических конференций педагогов</t>
  </si>
  <si>
    <t>"Учитель года."</t>
  </si>
  <si>
    <t>"Воспитать человека"</t>
  </si>
  <si>
    <t>5.2. Проведение конкурса профессионального мастерства муниципального уровня,</t>
  </si>
  <si>
    <t>5.3 Участие в конкурсах областного уровня.</t>
  </si>
  <si>
    <t>5.5 Поддержка лучших педагогических кадров, стимулирование  преподавательской деятельности воспитателей, учителей и педагогов дополнительного образования образовательных учреждений Мезенского района; выплата поощрений педагогам, работающим с одаренными детьми.</t>
  </si>
  <si>
    <t>Подпрограмма 6. Создание условий для сохранения и укрепления здоровья детей.</t>
  </si>
  <si>
    <t>2018 г.</t>
  </si>
  <si>
    <t>2019 г.</t>
  </si>
  <si>
    <t>2020 г.</t>
  </si>
  <si>
    <t>4.5. Развитие и поддержка общественного движения детей и подростков, их социальная активность. ( в т.ч.</t>
  </si>
  <si>
    <t>-Военно-патр.играЗарница и Безопасное колесо</t>
  </si>
  <si>
    <t>4.6 Участие в областных соревнованиях.</t>
  </si>
  <si>
    <t xml:space="preserve"> Участие в  районных спортивных мероприятиях:</t>
  </si>
  <si>
    <t>4.7. Премии выпускникам школ за особые успехи в учении и стипендии учащимся общеобразовательных школ, имеющих отличные результаты обучения</t>
  </si>
  <si>
    <t>6.1.Организация ежегодных медицинских осмотров участников образовательного процесса.</t>
  </si>
  <si>
    <t>6.2. Трудоустройство несовершеннолетних граждан в период каникулярного времени.</t>
  </si>
  <si>
    <t>6.3.Организация отдыха и оздоровления детей.</t>
  </si>
  <si>
    <t>6.4.Обеспечение деятельности детского оздоровительного Центра  «Стрела».</t>
  </si>
  <si>
    <t>6.5.Ремонт, реконструкция и оснащение оборудованием муниципального загородного оздоровительного лагеря  «Центр «Стрела»</t>
  </si>
  <si>
    <t>6.6.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работникам.</t>
  </si>
  <si>
    <t>6.8.Выплата приемным родителям по 2000 рублей на одного ребенка (по окончании календарного года).</t>
  </si>
  <si>
    <t>ИТОГО ПО ПОДПРОГРАММЕ 6.</t>
  </si>
  <si>
    <t>ИТОГО ПО ПОДПРОГРАММЕ 5.</t>
  </si>
  <si>
    <t>ИТОГО ПО ПОДПРОГРАММЕ 4.</t>
  </si>
  <si>
    <t>ИТОГО ПО ПОДПРОГРАММЕ 3.</t>
  </si>
  <si>
    <t>Обеспечение деятельности учреждений</t>
  </si>
  <si>
    <t>ИТОГО ПО ПОДПРОГРАММЕ 2.</t>
  </si>
  <si>
    <t xml:space="preserve">2.2. Приобретение материалов и проведение ремонтных работ с целью обеспечения выполнения требований и предписаний надзорных органов. </t>
  </si>
  <si>
    <t>в т.ч. - питание детей ОВЗ</t>
  </si>
  <si>
    <t>1.2 Компенсация расходов на оплату стоимости проезда и провоза багажа к месту использования отпуска и обратно для лиц, работающих в муниципальных образовательных учреждениях муниципального образования "Мезенский муниципальный район" .</t>
  </si>
  <si>
    <t xml:space="preserve">1.3.Обеспечение деятельности  образовательных учреждений, реализующих программы дошкольного образования </t>
  </si>
  <si>
    <t>2.3.Присмотр и уход за воспитанниками пришкольных интернатов  муниципальных учреждениях, реализующих программу общего образования.Обеспечение питанием обучающихся, проживающих в интернатах.</t>
  </si>
  <si>
    <t>2.4.Реализация основных общеобразовательных программ в общеобразовательных учреждениях.</t>
  </si>
  <si>
    <t xml:space="preserve">2.5.Обеспечение деятельности   образовательных учреждениях, реализующих программы начального общего, основного общего, среднего общего образования .                                                                                                                                                        </t>
  </si>
  <si>
    <t>2.7.Меры социальной поддержки специалистов на селе.</t>
  </si>
  <si>
    <t>2.8.Меры социальной поддержки педагогическим работникам для предоставления компенсации расходов на оплату жилых помещений, отопления и освещения.</t>
  </si>
  <si>
    <t>-субсидирование части расходов на оплату труда обслуживающего персонала</t>
  </si>
  <si>
    <t xml:space="preserve">1.4.Обеспечение дополнительных расходов на повышение минимального размера оплаты труда. </t>
  </si>
  <si>
    <t>1.5.Реализация общеобразовательных программ дошкольного образования.</t>
  </si>
  <si>
    <t>2.1. Создание  в общеобразовательных организациях, расположенных в сельской местности, условий для занятий физической культурой и спортом.</t>
  </si>
  <si>
    <t>Ремонт спортзала в Койденской ср.шк.</t>
  </si>
  <si>
    <t xml:space="preserve">3.4.Обеспечение дополнительных расходов на повышение минимального размера оплаты труда. </t>
  </si>
  <si>
    <t>5.3. Единовременная выплата молодым специалистам (115,0 на 1 чел)</t>
  </si>
  <si>
    <t>5.4 Стипендии студентам, обучающимся  на условиях договора об обучении по педагогическим специальностям.</t>
  </si>
  <si>
    <t xml:space="preserve">2.6.Обеспечение дополнительных расходов на повышение минимального размера оплаты труда. </t>
  </si>
  <si>
    <t>Дорогорская ср.шк.</t>
  </si>
  <si>
    <t>2.9 Компенсация расходов на оплату стоимости проезда и провоза багажа к месту использования отпуска и обратно для лиц, работающих в муниципальных образовательных учреждениях муниципального образования "Мезенский муниципальный район" .</t>
  </si>
  <si>
    <t>1.1. Приобретение материалов и проведение ремонтных работ с целью обеспечения выполнения требований и предписаний надзорных органов в дошкольных образовательных организациях.</t>
  </si>
  <si>
    <t>капитальный ремонт (софинансирование)</t>
  </si>
  <si>
    <t>детский сад в МБОУ "Дорогорская средняя школа Мезенского района"</t>
  </si>
  <si>
    <t>текущий ремонт</t>
  </si>
  <si>
    <t>МБДОУ "Детский сад  "Улыбка", дет.сад в МБОУ "Долгощельская средняя школа"</t>
  </si>
  <si>
    <t>-установка ограждения территории Каменской средней школы</t>
  </si>
  <si>
    <t>- ремонт кровли (Дорогорская ср.шк.)            -утепление школы (Каменская ср.шк.)                                    -замена проводки (Дорогорская ср.шк.)</t>
  </si>
  <si>
    <t>приобретение оборудования</t>
  </si>
  <si>
    <t>устранение предписаний надзорных органов</t>
  </si>
  <si>
    <t>укрепление материально-технической базы (улучшение санитарно-бытовых условий для детей)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</si>
  <si>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</si>
  <si>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во всероссийских мероприятиях.</t>
  </si>
  <si>
    <t>- оснащение развивающ. Играми, мебелью и компьютерным оборудованием.</t>
  </si>
  <si>
    <t>МБДОУ "Детский сад  "Улыбка", дет.сад в Дорогорской средней школе</t>
  </si>
  <si>
    <t>1.6. Укрепление материально-технической базы, в т.ч. Игровое оборудование для уличных площадок</t>
  </si>
  <si>
    <t>1.7.Компенсационные выплаты части родительской платы за присмотр и уход за ребенком в муниципальных образовательных учреждениях, реализующих программу дошкольного образования.</t>
  </si>
  <si>
    <t>1.8.Меры социальной поддержки педагогическим работникам для предоставления компенсации расходов на оплату жилых помещений, отопления и освещения.</t>
  </si>
  <si>
    <r>
      <t>Свод программных мероприятий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муниципальной программы   "Развитие общего образования, создание условий для социализации детей в муниципальном образовании «Мезенский муниципальный район» на 2018 – 2020 годы»</t>
    </r>
  </si>
  <si>
    <t>Муниципальная  программа  "Развитие общего образования, создание условий для социализации детей в муниципальном образовании «Мезенский муниципальный район» на 2018 – 2020 годы»</t>
  </si>
  <si>
    <t>приобр.укладчика для трассы</t>
  </si>
  <si>
    <t xml:space="preserve"> приобретение спортивного и лыж.инвентаря</t>
  </si>
  <si>
    <t>2.3. Эскурсионные выезды</t>
  </si>
  <si>
    <t>за счет АГД</t>
  </si>
  <si>
    <t>4.4.Участие во всероссийских мероприятиях 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</si>
</sst>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 Cyr"/>
      <family val="2"/>
    </font>
    <font>
      <b/>
      <sz val="8"/>
      <name val="Arial Cyr"/>
      <family val="0"/>
    </font>
    <font>
      <b/>
      <sz val="8"/>
      <name val="Castellar"/>
      <family val="1"/>
    </font>
    <font>
      <b/>
      <sz val="8"/>
      <name val="Arial Baltic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8" xfId="0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7" fillId="0" borderId="29" xfId="0" applyNumberFormat="1" applyFont="1" applyBorder="1" applyAlignment="1">
      <alignment/>
    </xf>
    <xf numFmtId="172" fontId="7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" fontId="9" fillId="0" borderId="2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2" fontId="7" fillId="0" borderId="35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/>
    </xf>
    <xf numFmtId="172" fontId="7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72" fontId="5" fillId="0" borderId="39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/>
    </xf>
    <xf numFmtId="172" fontId="9" fillId="0" borderId="40" xfId="0" applyNumberFormat="1" applyFont="1" applyBorder="1" applyAlignment="1">
      <alignment horizontal="center"/>
    </xf>
    <xf numFmtId="172" fontId="7" fillId="0" borderId="40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/>
    </xf>
    <xf numFmtId="1" fontId="7" fillId="0" borderId="29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0" borderId="34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41" xfId="0" applyBorder="1" applyAlignment="1">
      <alignment/>
    </xf>
    <xf numFmtId="173" fontId="5" fillId="0" borderId="42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173" fontId="7" fillId="0" borderId="45" xfId="0" applyNumberFormat="1" applyFont="1" applyBorder="1" applyAlignment="1">
      <alignment/>
    </xf>
    <xf numFmtId="173" fontId="7" fillId="0" borderId="46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173" fontId="7" fillId="0" borderId="47" xfId="0" applyNumberFormat="1" applyFont="1" applyBorder="1" applyAlignment="1">
      <alignment/>
    </xf>
    <xf numFmtId="172" fontId="7" fillId="0" borderId="44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/>
    </xf>
    <xf numFmtId="172" fontId="7" fillId="0" borderId="48" xfId="0" applyNumberFormat="1" applyFont="1" applyBorder="1" applyAlignment="1">
      <alignment/>
    </xf>
    <xf numFmtId="172" fontId="7" fillId="0" borderId="29" xfId="0" applyNumberFormat="1" applyFont="1" applyBorder="1" applyAlignment="1">
      <alignment horizontal="right"/>
    </xf>
    <xf numFmtId="172" fontId="7" fillId="0" borderId="43" xfId="0" applyNumberFormat="1" applyFont="1" applyBorder="1" applyAlignment="1">
      <alignment horizontal="right"/>
    </xf>
    <xf numFmtId="172" fontId="7" fillId="0" borderId="49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51" xfId="0" applyBorder="1" applyAlignment="1">
      <alignment wrapText="1"/>
    </xf>
    <xf numFmtId="0" fontId="16" fillId="0" borderId="52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5" xfId="0" applyBorder="1" applyAlignment="1">
      <alignment wrapText="1"/>
    </xf>
    <xf numFmtId="0" fontId="17" fillId="0" borderId="55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6" fillId="0" borderId="28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4" fontId="16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4" fontId="16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16" fillId="0" borderId="13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6" fillId="0" borderId="60" xfId="0" applyFont="1" applyBorder="1" applyAlignment="1">
      <alignment vertical="top" wrapText="1"/>
    </xf>
    <xf numFmtId="0" fontId="16" fillId="0" borderId="61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6" fillId="0" borderId="21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4" fontId="16" fillId="0" borderId="20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4" fontId="16" fillId="0" borderId="18" xfId="0" applyNumberFormat="1" applyFont="1" applyBorder="1" applyAlignment="1">
      <alignment horizontal="center" wrapText="1"/>
    </xf>
    <xf numFmtId="4" fontId="16" fillId="0" borderId="18" xfId="0" applyNumberFormat="1" applyFont="1" applyBorder="1" applyAlignment="1">
      <alignment wrapText="1"/>
    </xf>
    <xf numFmtId="0" fontId="16" fillId="0" borderId="20" xfId="0" applyFont="1" applyBorder="1" applyAlignment="1">
      <alignment horizontal="center" wrapText="1"/>
    </xf>
    <xf numFmtId="4" fontId="17" fillId="0" borderId="13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51" xfId="0" applyNumberFormat="1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wrapText="1"/>
    </xf>
    <xf numFmtId="4" fontId="17" fillId="0" borderId="18" xfId="0" applyNumberFormat="1" applyFont="1" applyBorder="1" applyAlignment="1">
      <alignment horizontal="center" wrapText="1"/>
    </xf>
    <xf numFmtId="0" fontId="16" fillId="0" borderId="28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16" fillId="0" borderId="33" xfId="0" applyFont="1" applyBorder="1" applyAlignment="1">
      <alignment horizontal="center" wrapText="1"/>
    </xf>
    <xf numFmtId="0" fontId="18" fillId="0" borderId="58" xfId="0" applyFont="1" applyBorder="1" applyAlignment="1">
      <alignment wrapText="1"/>
    </xf>
    <xf numFmtId="0" fontId="16" fillId="0" borderId="57" xfId="0" applyFont="1" applyBorder="1" applyAlignment="1">
      <alignment wrapText="1"/>
    </xf>
    <xf numFmtId="0" fontId="16" fillId="0" borderId="59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4" fontId="0" fillId="0" borderId="51" xfId="0" applyNumberFormat="1" applyBorder="1" applyAlignment="1">
      <alignment wrapText="1"/>
    </xf>
    <xf numFmtId="4" fontId="16" fillId="0" borderId="28" xfId="0" applyNumberFormat="1" applyFont="1" applyBorder="1" applyAlignment="1">
      <alignment wrapText="1"/>
    </xf>
    <xf numFmtId="4" fontId="16" fillId="0" borderId="51" xfId="0" applyNumberFormat="1" applyFont="1" applyBorder="1" applyAlignment="1">
      <alignment wrapText="1"/>
    </xf>
    <xf numFmtId="4" fontId="16" fillId="0" borderId="33" xfId="0" applyNumberFormat="1" applyFont="1" applyBorder="1" applyAlignment="1">
      <alignment horizontal="center" wrapText="1"/>
    </xf>
    <xf numFmtId="4" fontId="16" fillId="0" borderId="33" xfId="0" applyNumberFormat="1" applyFont="1" applyBorder="1" applyAlignment="1">
      <alignment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horizontal="center" wrapText="1"/>
    </xf>
    <xf numFmtId="4" fontId="0" fillId="0" borderId="35" xfId="0" applyNumberFormat="1" applyBorder="1" applyAlignment="1">
      <alignment wrapText="1"/>
    </xf>
    <xf numFmtId="4" fontId="16" fillId="0" borderId="44" xfId="0" applyNumberFormat="1" applyFont="1" applyBorder="1" applyAlignment="1">
      <alignment horizontal="center" wrapText="1"/>
    </xf>
    <xf numFmtId="4" fontId="0" fillId="0" borderId="33" xfId="0" applyNumberFormat="1" applyBorder="1" applyAlignment="1">
      <alignment wrapText="1"/>
    </xf>
    <xf numFmtId="4" fontId="16" fillId="0" borderId="53" xfId="0" applyNumberFormat="1" applyFont="1" applyBorder="1" applyAlignment="1">
      <alignment horizontal="center" wrapText="1"/>
    </xf>
    <xf numFmtId="4" fontId="16" fillId="0" borderId="47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7" fillId="0" borderId="44" xfId="0" applyNumberFormat="1" applyFont="1" applyBorder="1" applyAlignment="1">
      <alignment horizontal="center" wrapText="1"/>
    </xf>
    <xf numFmtId="4" fontId="17" fillId="0" borderId="53" xfId="0" applyNumberFormat="1" applyFont="1" applyBorder="1" applyAlignment="1">
      <alignment horizontal="center" wrapText="1"/>
    </xf>
    <xf numFmtId="4" fontId="16" fillId="0" borderId="45" xfId="0" applyNumberFormat="1" applyFont="1" applyBorder="1" applyAlignment="1">
      <alignment horizontal="center" wrapText="1"/>
    </xf>
    <xf numFmtId="4" fontId="16" fillId="0" borderId="50" xfId="0" applyNumberFormat="1" applyFont="1" applyBorder="1" applyAlignment="1">
      <alignment wrapText="1"/>
    </xf>
    <xf numFmtId="4" fontId="16" fillId="0" borderId="62" xfId="0" applyNumberFormat="1" applyFont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4" fontId="16" fillId="0" borderId="50" xfId="0" applyNumberFormat="1" applyFont="1" applyBorder="1" applyAlignment="1">
      <alignment horizontal="center" wrapText="1"/>
    </xf>
    <xf numFmtId="4" fontId="0" fillId="0" borderId="50" xfId="0" applyNumberFormat="1" applyBorder="1" applyAlignment="1">
      <alignment wrapText="1"/>
    </xf>
    <xf numFmtId="0" fontId="20" fillId="0" borderId="30" xfId="0" applyFont="1" applyBorder="1" applyAlignment="1">
      <alignment horizontal="justify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6" fillId="0" borderId="13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4" fontId="16" fillId="0" borderId="64" xfId="0" applyNumberFormat="1" applyFont="1" applyBorder="1" applyAlignment="1">
      <alignment wrapText="1"/>
    </xf>
    <xf numFmtId="4" fontId="16" fillId="0" borderId="65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0" fillId="0" borderId="50" xfId="0" applyBorder="1" applyAlignment="1">
      <alignment wrapText="1"/>
    </xf>
    <xf numFmtId="0" fontId="20" fillId="0" borderId="50" xfId="0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wrapText="1"/>
    </xf>
    <xf numFmtId="0" fontId="16" fillId="0" borderId="66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4" fontId="17" fillId="0" borderId="50" xfId="0" applyNumberFormat="1" applyFont="1" applyBorder="1" applyAlignment="1">
      <alignment wrapText="1"/>
    </xf>
    <xf numFmtId="0" fontId="16" fillId="0" borderId="50" xfId="0" applyFont="1" applyBorder="1" applyAlignment="1">
      <alignment horizontal="center"/>
    </xf>
    <xf numFmtId="0" fontId="20" fillId="0" borderId="50" xfId="0" applyFont="1" applyBorder="1" applyAlignment="1">
      <alignment/>
    </xf>
    <xf numFmtId="49" fontId="17" fillId="0" borderId="50" xfId="0" applyNumberFormat="1" applyFont="1" applyBorder="1" applyAlignment="1">
      <alignment wrapText="1"/>
    </xf>
    <xf numFmtId="49" fontId="17" fillId="0" borderId="50" xfId="0" applyNumberFormat="1" applyFont="1" applyBorder="1" applyAlignment="1">
      <alignment/>
    </xf>
    <xf numFmtId="0" fontId="20" fillId="0" borderId="50" xfId="0" applyFont="1" applyBorder="1" applyAlignment="1">
      <alignment wrapText="1"/>
    </xf>
    <xf numFmtId="0" fontId="17" fillId="0" borderId="50" xfId="0" applyFont="1" applyBorder="1" applyAlignment="1">
      <alignment wrapText="1"/>
    </xf>
    <xf numFmtId="0" fontId="16" fillId="0" borderId="50" xfId="0" applyFont="1" applyBorder="1" applyAlignment="1">
      <alignment wrapText="1"/>
    </xf>
    <xf numFmtId="0" fontId="0" fillId="0" borderId="62" xfId="0" applyBorder="1" applyAlignment="1">
      <alignment wrapText="1"/>
    </xf>
    <xf numFmtId="0" fontId="17" fillId="0" borderId="64" xfId="0" applyFont="1" applyBorder="1" applyAlignment="1">
      <alignment wrapText="1"/>
    </xf>
    <xf numFmtId="49" fontId="22" fillId="0" borderId="64" xfId="0" applyNumberFormat="1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0" fillId="0" borderId="13" xfId="0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6" fillId="0" borderId="65" xfId="0" applyFont="1" applyBorder="1" applyAlignment="1">
      <alignment wrapText="1"/>
    </xf>
    <xf numFmtId="0" fontId="16" fillId="0" borderId="64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0" fillId="0" borderId="62" xfId="0" applyBorder="1" applyAlignment="1">
      <alignment/>
    </xf>
    <xf numFmtId="0" fontId="0" fillId="0" borderId="66" xfId="0" applyBorder="1" applyAlignment="1">
      <alignment horizontal="center" wrapText="1"/>
    </xf>
    <xf numFmtId="0" fontId="10" fillId="0" borderId="67" xfId="0" applyFont="1" applyBorder="1" applyAlignment="1">
      <alignment wrapText="1"/>
    </xf>
    <xf numFmtId="4" fontId="10" fillId="0" borderId="63" xfId="0" applyNumberFormat="1" applyFont="1" applyBorder="1" applyAlignment="1">
      <alignment wrapText="1"/>
    </xf>
    <xf numFmtId="0" fontId="16" fillId="0" borderId="68" xfId="0" applyFont="1" applyBorder="1" applyAlignment="1">
      <alignment wrapText="1"/>
    </xf>
    <xf numFmtId="4" fontId="21" fillId="0" borderId="20" xfId="0" applyNumberFormat="1" applyFont="1" applyBorder="1" applyAlignment="1">
      <alignment horizontal="center" wrapText="1"/>
    </xf>
    <xf numFmtId="0" fontId="17" fillId="0" borderId="62" xfId="0" applyFont="1" applyBorder="1" applyAlignment="1">
      <alignment wrapText="1"/>
    </xf>
    <xf numFmtId="4" fontId="17" fillId="0" borderId="13" xfId="0" applyNumberFormat="1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0" borderId="67" xfId="0" applyFont="1" applyBorder="1" applyAlignment="1">
      <alignment wrapText="1"/>
    </xf>
    <xf numFmtId="49" fontId="16" fillId="0" borderId="31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4" fontId="17" fillId="0" borderId="13" xfId="0" applyNumberFormat="1" applyFont="1" applyBorder="1" applyAlignment="1">
      <alignment/>
    </xf>
    <xf numFmtId="4" fontId="17" fillId="0" borderId="22" xfId="0" applyNumberFormat="1" applyFont="1" applyBorder="1" applyAlignment="1">
      <alignment wrapText="1"/>
    </xf>
    <xf numFmtId="4" fontId="17" fillId="0" borderId="22" xfId="0" applyNumberFormat="1" applyFont="1" applyBorder="1" applyAlignment="1">
      <alignment/>
    </xf>
    <xf numFmtId="0" fontId="0" fillId="0" borderId="63" xfId="0" applyBorder="1" applyAlignment="1">
      <alignment/>
    </xf>
    <xf numFmtId="4" fontId="17" fillId="0" borderId="63" xfId="0" applyNumberFormat="1" applyFont="1" applyBorder="1" applyAlignment="1">
      <alignment wrapText="1"/>
    </xf>
    <xf numFmtId="4" fontId="17" fillId="0" borderId="63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16" fontId="16" fillId="0" borderId="17" xfId="0" applyNumberFormat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51" xfId="0" applyNumberFormat="1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20" fillId="0" borderId="50" xfId="0" applyFont="1" applyBorder="1" applyAlignment="1">
      <alignment horizontal="center"/>
    </xf>
    <xf numFmtId="0" fontId="21" fillId="0" borderId="53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16" fillId="0" borderId="69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6" fillId="0" borderId="54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72" xfId="0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6" fillId="0" borderId="69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72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49" fontId="16" fillId="0" borderId="66" xfId="0" applyNumberFormat="1" applyFont="1" applyBorder="1" applyAlignment="1">
      <alignment horizontal="center" wrapText="1"/>
    </xf>
    <xf numFmtId="49" fontId="16" fillId="0" borderId="67" xfId="0" applyNumberFormat="1" applyFont="1" applyBorder="1" applyAlignment="1">
      <alignment horizontal="center" wrapText="1"/>
    </xf>
    <xf numFmtId="0" fontId="17" fillId="0" borderId="64" xfId="0" applyFont="1" applyBorder="1" applyAlignment="1">
      <alignment horizontal="center" wrapText="1"/>
    </xf>
    <xf numFmtId="0" fontId="17" fillId="0" borderId="50" xfId="0" applyFont="1" applyBorder="1" applyAlignment="1">
      <alignment horizontal="center" wrapText="1"/>
    </xf>
    <xf numFmtId="49" fontId="17" fillId="0" borderId="65" xfId="0" applyNumberFormat="1" applyFont="1" applyBorder="1" applyAlignment="1">
      <alignment horizontal="center" wrapText="1"/>
    </xf>
    <xf numFmtId="49" fontId="17" fillId="0" borderId="68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4" fontId="16" fillId="0" borderId="5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83"/>
  <sheetViews>
    <sheetView zoomScalePageLayoutView="0" workbookViewId="0" topLeftCell="A13">
      <selection activeCell="A1" sqref="A1:Q1"/>
    </sheetView>
  </sheetViews>
  <sheetFormatPr defaultColWidth="9.00390625" defaultRowHeight="12.75"/>
  <cols>
    <col min="1" max="1" width="0.12890625" style="0" customWidth="1"/>
    <col min="2" max="2" width="19.375" style="0" customWidth="1"/>
    <col min="16" max="16" width="9.50390625" style="0" bestFit="1" customWidth="1"/>
    <col min="19" max="19" width="9.125" style="0" hidden="1" customWidth="1"/>
    <col min="20" max="20" width="18.375" style="0" customWidth="1"/>
  </cols>
  <sheetData>
    <row r="1" spans="1:35" ht="17.25">
      <c r="A1" s="299" t="s">
        <v>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S1" s="299" t="s">
        <v>52</v>
      </c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</row>
    <row r="2" spans="1:35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6" ht="12.75" customHeight="1">
      <c r="A4" s="300" t="s">
        <v>23</v>
      </c>
      <c r="B4" s="302" t="s">
        <v>24</v>
      </c>
      <c r="C4" s="287" t="s">
        <v>25</v>
      </c>
      <c r="D4" s="287" t="s">
        <v>26</v>
      </c>
      <c r="E4" s="304" t="s">
        <v>33</v>
      </c>
      <c r="F4" s="305"/>
      <c r="G4" s="287" t="s">
        <v>27</v>
      </c>
      <c r="H4" s="287" t="s">
        <v>28</v>
      </c>
      <c r="I4" s="304" t="s">
        <v>17</v>
      </c>
      <c r="J4" s="305"/>
      <c r="K4" s="287" t="s">
        <v>31</v>
      </c>
      <c r="L4" s="287" t="s">
        <v>40</v>
      </c>
      <c r="M4" s="287" t="s">
        <v>34</v>
      </c>
      <c r="N4" s="289" t="s">
        <v>38</v>
      </c>
      <c r="O4" s="291" t="s">
        <v>39</v>
      </c>
      <c r="P4" s="293" t="s">
        <v>42</v>
      </c>
      <c r="Q4" s="295" t="s">
        <v>43</v>
      </c>
      <c r="R4" s="297" t="s">
        <v>44</v>
      </c>
      <c r="S4" s="300" t="s">
        <v>23</v>
      </c>
      <c r="T4" s="302" t="s">
        <v>24</v>
      </c>
      <c r="U4" s="287" t="s">
        <v>25</v>
      </c>
      <c r="V4" s="287" t="s">
        <v>26</v>
      </c>
      <c r="W4" s="304" t="s">
        <v>33</v>
      </c>
      <c r="X4" s="305"/>
      <c r="Y4" s="287" t="s">
        <v>27</v>
      </c>
      <c r="Z4" s="287" t="s">
        <v>28</v>
      </c>
      <c r="AA4" s="304" t="s">
        <v>17</v>
      </c>
      <c r="AB4" s="305"/>
      <c r="AC4" s="287" t="s">
        <v>31</v>
      </c>
      <c r="AD4" s="287" t="s">
        <v>40</v>
      </c>
      <c r="AE4" s="287" t="s">
        <v>34</v>
      </c>
      <c r="AF4" s="289" t="s">
        <v>38</v>
      </c>
      <c r="AG4" s="291" t="s">
        <v>39</v>
      </c>
      <c r="AH4" s="293" t="s">
        <v>42</v>
      </c>
      <c r="AI4" s="295" t="s">
        <v>43</v>
      </c>
      <c r="AJ4" s="297" t="s">
        <v>44</v>
      </c>
    </row>
    <row r="5" spans="1:36" ht="30" customHeight="1" thickBot="1">
      <c r="A5" s="301"/>
      <c r="B5" s="303"/>
      <c r="C5" s="288"/>
      <c r="D5" s="288"/>
      <c r="E5" s="13">
        <v>0.15</v>
      </c>
      <c r="F5" s="13">
        <v>0.25</v>
      </c>
      <c r="G5" s="288"/>
      <c r="H5" s="288"/>
      <c r="I5" s="6" t="s">
        <v>30</v>
      </c>
      <c r="J5" s="6" t="s">
        <v>29</v>
      </c>
      <c r="K5" s="288"/>
      <c r="L5" s="288"/>
      <c r="M5" s="288"/>
      <c r="N5" s="290"/>
      <c r="O5" s="292"/>
      <c r="P5" s="294"/>
      <c r="Q5" s="296"/>
      <c r="R5" s="298"/>
      <c r="S5" s="301"/>
      <c r="T5" s="303"/>
      <c r="U5" s="288"/>
      <c r="V5" s="288"/>
      <c r="W5" s="13">
        <v>0.15</v>
      </c>
      <c r="X5" s="13">
        <v>0.25</v>
      </c>
      <c r="Y5" s="288"/>
      <c r="Z5" s="288"/>
      <c r="AA5" s="6" t="s">
        <v>30</v>
      </c>
      <c r="AB5" s="6" t="s">
        <v>29</v>
      </c>
      <c r="AC5" s="288"/>
      <c r="AD5" s="288"/>
      <c r="AE5" s="288"/>
      <c r="AF5" s="290"/>
      <c r="AG5" s="292"/>
      <c r="AH5" s="294"/>
      <c r="AI5" s="296"/>
      <c r="AJ5" s="298"/>
    </row>
    <row r="6" spans="1:36" ht="12.75">
      <c r="A6" s="2"/>
      <c r="B6" s="8" t="s">
        <v>35</v>
      </c>
      <c r="C6" s="9"/>
      <c r="D6" s="9"/>
      <c r="E6" s="14"/>
      <c r="F6" s="14"/>
      <c r="G6" s="9"/>
      <c r="H6" s="9"/>
      <c r="I6" s="9"/>
      <c r="J6" s="9"/>
      <c r="K6" s="9"/>
      <c r="L6" s="15">
        <f>J6*0.02</f>
        <v>0</v>
      </c>
      <c r="M6" s="9"/>
      <c r="N6" s="10"/>
      <c r="O6" s="39"/>
      <c r="P6" s="104"/>
      <c r="Q6" s="51"/>
      <c r="R6" s="120"/>
      <c r="S6" s="2"/>
      <c r="T6" s="8" t="s">
        <v>35</v>
      </c>
      <c r="U6" s="9"/>
      <c r="V6" s="9"/>
      <c r="W6" s="14"/>
      <c r="X6" s="14"/>
      <c r="Y6" s="9"/>
      <c r="Z6" s="9"/>
      <c r="AA6" s="9"/>
      <c r="AB6" s="9"/>
      <c r="AC6" s="9"/>
      <c r="AD6" s="15">
        <f>AB6*0.02</f>
        <v>0</v>
      </c>
      <c r="AE6" s="9"/>
      <c r="AF6" s="10"/>
      <c r="AG6" s="39"/>
      <c r="AH6" s="104"/>
      <c r="AI6" s="51"/>
      <c r="AJ6" s="120"/>
    </row>
    <row r="7" spans="1:36" ht="12.75">
      <c r="A7" s="7">
        <v>1</v>
      </c>
      <c r="B7" s="11" t="s">
        <v>0</v>
      </c>
      <c r="C7" s="4">
        <v>117534</v>
      </c>
      <c r="D7" s="4">
        <v>171886</v>
      </c>
      <c r="E7" s="4"/>
      <c r="F7" s="4">
        <f aca="true" t="shared" si="0" ref="F7:F22">(C7+G7+D7)*25/75</f>
        <v>98342.66666666667</v>
      </c>
      <c r="G7" s="4">
        <v>5608</v>
      </c>
      <c r="H7" s="4">
        <f>(SUM(C7:G7))*1.2</f>
        <v>472044.8</v>
      </c>
      <c r="I7" s="4">
        <f aca="true" t="shared" si="1" ref="I7:I22">SUM(C7:H7)</f>
        <v>865415.4666666667</v>
      </c>
      <c r="J7" s="4">
        <f aca="true" t="shared" si="2" ref="J7:J22">I7*12</f>
        <v>10384985.6</v>
      </c>
      <c r="K7" s="4">
        <v>228879</v>
      </c>
      <c r="L7" s="4">
        <v>113234</v>
      </c>
      <c r="M7" s="102"/>
      <c r="N7" s="136">
        <f>(I7+J7+K7+L7+M7)*1.1*1.09</f>
        <v>13899424.365933336</v>
      </c>
      <c r="O7" s="112">
        <f>(J7+K7+L7+M7+N7)*1.1*1.09</f>
        <v>29527201.036154076</v>
      </c>
      <c r="P7" s="105">
        <f>O7/1000</f>
        <v>29527.201036154078</v>
      </c>
      <c r="Q7" s="54">
        <f>P7*0.262</f>
        <v>7736.126671472369</v>
      </c>
      <c r="R7" s="121">
        <f>P7+Q7</f>
        <v>37263.32770762645</v>
      </c>
      <c r="S7" s="7">
        <v>1</v>
      </c>
      <c r="T7" s="11" t="s">
        <v>0</v>
      </c>
      <c r="U7" s="4">
        <v>117534</v>
      </c>
      <c r="V7" s="4">
        <v>171886</v>
      </c>
      <c r="W7" s="4"/>
      <c r="X7" s="4">
        <f aca="true" t="shared" si="3" ref="X7:X22">(U7+Y7+V7)*25/75</f>
        <v>98342.66666666667</v>
      </c>
      <c r="Y7" s="4">
        <v>5608</v>
      </c>
      <c r="Z7" s="4">
        <f>(SUM(U7:Y7))*1.2</f>
        <v>472044.8</v>
      </c>
      <c r="AA7" s="4">
        <f>SUM(U7:Z7)</f>
        <v>865415.4666666667</v>
      </c>
      <c r="AB7" s="4">
        <f aca="true" t="shared" si="4" ref="AB7:AB22">AA7*12</f>
        <v>10384985.6</v>
      </c>
      <c r="AC7" s="4">
        <v>228879</v>
      </c>
      <c r="AD7" s="4">
        <v>113234</v>
      </c>
      <c r="AE7" s="102"/>
      <c r="AF7" s="136">
        <f>(AA7+AB7+AC7+AD7+AE7)*1.1*1.09</f>
        <v>13899424.365933336</v>
      </c>
      <c r="AG7" s="112">
        <f>(AB7+AC7+AD7+AE7+AF7)*1.1*1.09*1.09</f>
        <v>32184649.129407946</v>
      </c>
      <c r="AH7" s="105">
        <f>AG7/1000</f>
        <v>32184.649129407946</v>
      </c>
      <c r="AI7" s="54">
        <f>AH7*0.262</f>
        <v>8432.378071904883</v>
      </c>
      <c r="AJ7" s="121">
        <f>AH7+AI7</f>
        <v>40617.02720131283</v>
      </c>
    </row>
    <row r="8" spans="1:36" ht="12.75">
      <c r="A8" s="7">
        <v>2</v>
      </c>
      <c r="B8" s="11" t="s">
        <v>1</v>
      </c>
      <c r="C8" s="4">
        <v>105691</v>
      </c>
      <c r="D8" s="4">
        <v>128231</v>
      </c>
      <c r="E8" s="4"/>
      <c r="F8" s="4">
        <f t="shared" si="0"/>
        <v>80027.66666666667</v>
      </c>
      <c r="G8" s="3">
        <v>6161</v>
      </c>
      <c r="H8" s="4">
        <f aca="true" t="shared" si="5" ref="H8:H31">(SUM(C8:G8))*1.2</f>
        <v>384132.8</v>
      </c>
      <c r="I8" s="4">
        <f>SUM(C8:H8)</f>
        <v>704243.4666666667</v>
      </c>
      <c r="J8" s="4">
        <f t="shared" si="2"/>
        <v>8450921.6</v>
      </c>
      <c r="K8" s="4">
        <v>193091</v>
      </c>
      <c r="L8" s="4">
        <v>95832</v>
      </c>
      <c r="M8" s="3"/>
      <c r="N8" s="5">
        <f aca="true" t="shared" si="6" ref="N8:N22">((D8*0.05*25/75)+(D8*0.05))*2.2*6</f>
        <v>112843.28000000003</v>
      </c>
      <c r="O8" s="112">
        <f aca="true" t="shared" si="7" ref="O8:O22">(J8+K8+L8+M8+N8)*1.1*1.09</f>
        <v>10614372.76812</v>
      </c>
      <c r="P8" s="105">
        <f aca="true" t="shared" si="8" ref="P8:P22">O8/1000</f>
        <v>10614.37276812</v>
      </c>
      <c r="Q8" s="54">
        <f aca="true" t="shared" si="9" ref="Q8:Q22">P8*0.262</f>
        <v>2780.96566524744</v>
      </c>
      <c r="R8" s="121">
        <f aca="true" t="shared" si="10" ref="R8:R22">P8+Q8</f>
        <v>13395.33843336744</v>
      </c>
      <c r="S8" s="7">
        <v>2</v>
      </c>
      <c r="T8" s="11" t="s">
        <v>1</v>
      </c>
      <c r="U8" s="4">
        <v>105691</v>
      </c>
      <c r="V8" s="4">
        <v>128231</v>
      </c>
      <c r="W8" s="4"/>
      <c r="X8" s="4">
        <f t="shared" si="3"/>
        <v>80027.66666666667</v>
      </c>
      <c r="Y8" s="3">
        <v>6161</v>
      </c>
      <c r="Z8" s="4">
        <f aca="true" t="shared" si="11" ref="Z8:Z22">(SUM(U8:Y8))*1.2</f>
        <v>384132.8</v>
      </c>
      <c r="AA8" s="4">
        <f>SUM(U8:Z8)</f>
        <v>704243.4666666667</v>
      </c>
      <c r="AB8" s="4">
        <f t="shared" si="4"/>
        <v>8450921.6</v>
      </c>
      <c r="AC8" s="4">
        <v>193091</v>
      </c>
      <c r="AD8" s="4">
        <v>95832</v>
      </c>
      <c r="AE8" s="3"/>
      <c r="AF8" s="5">
        <f aca="true" t="shared" si="12" ref="AF8:AF22">((V8*0.05*25/75)+(V8*0.05))*2.2*6</f>
        <v>112843.28000000003</v>
      </c>
      <c r="AG8" s="112">
        <f aca="true" t="shared" si="13" ref="AG8:AG22">(AB8+AC8+AD8+AE8+AF8)*1.1*1.09*1.09</f>
        <v>11569666.317250801</v>
      </c>
      <c r="AH8" s="105">
        <f aca="true" t="shared" si="14" ref="AH8:AH22">AG8/1000</f>
        <v>11569.666317250802</v>
      </c>
      <c r="AI8" s="54">
        <f aca="true" t="shared" si="15" ref="AI8:AI22">AH8*0.262</f>
        <v>3031.25257511971</v>
      </c>
      <c r="AJ8" s="121">
        <f aca="true" t="shared" si="16" ref="AJ8:AJ22">AH8+AI8</f>
        <v>14600.918892370511</v>
      </c>
    </row>
    <row r="9" spans="1:36" ht="12.75">
      <c r="A9" s="7">
        <v>4</v>
      </c>
      <c r="B9" s="11" t="s">
        <v>41</v>
      </c>
      <c r="C9" s="4">
        <v>49490</v>
      </c>
      <c r="D9" s="4">
        <v>9425</v>
      </c>
      <c r="E9" s="4"/>
      <c r="F9" s="4">
        <f t="shared" si="0"/>
        <v>20776.666666666668</v>
      </c>
      <c r="G9" s="4">
        <v>3415</v>
      </c>
      <c r="H9" s="4">
        <f t="shared" si="5"/>
        <v>99728</v>
      </c>
      <c r="I9" s="4">
        <f t="shared" si="1"/>
        <v>182834.6666666667</v>
      </c>
      <c r="J9" s="4">
        <f t="shared" si="2"/>
        <v>2194016</v>
      </c>
      <c r="K9" s="4">
        <v>59201</v>
      </c>
      <c r="L9" s="4"/>
      <c r="M9" s="3"/>
      <c r="N9" s="5">
        <f t="shared" si="6"/>
        <v>8294</v>
      </c>
      <c r="O9" s="112">
        <f t="shared" si="7"/>
        <v>2711551.6890000002</v>
      </c>
      <c r="P9" s="105">
        <f t="shared" si="8"/>
        <v>2711.5516890000004</v>
      </c>
      <c r="Q9" s="54">
        <f t="shared" si="9"/>
        <v>710.4265425180001</v>
      </c>
      <c r="R9" s="121">
        <f t="shared" si="10"/>
        <v>3421.9782315180005</v>
      </c>
      <c r="S9" s="7">
        <v>4</v>
      </c>
      <c r="T9" s="11" t="s">
        <v>41</v>
      </c>
      <c r="U9" s="4">
        <v>49490</v>
      </c>
      <c r="V9" s="4">
        <v>9425</v>
      </c>
      <c r="W9" s="4"/>
      <c r="X9" s="4">
        <f t="shared" si="3"/>
        <v>20776.666666666668</v>
      </c>
      <c r="Y9" s="4">
        <v>3415</v>
      </c>
      <c r="Z9" s="4">
        <f t="shared" si="11"/>
        <v>99728</v>
      </c>
      <c r="AA9" s="4">
        <f aca="true" t="shared" si="17" ref="AA9:AA22">SUM(U9:Z9)</f>
        <v>182834.6666666667</v>
      </c>
      <c r="AB9" s="4">
        <f t="shared" si="4"/>
        <v>2194016</v>
      </c>
      <c r="AC9" s="4">
        <v>59201</v>
      </c>
      <c r="AD9" s="4"/>
      <c r="AE9" s="3"/>
      <c r="AF9" s="5">
        <f t="shared" si="12"/>
        <v>8294</v>
      </c>
      <c r="AG9" s="112">
        <f t="shared" si="13"/>
        <v>2955591.3410100006</v>
      </c>
      <c r="AH9" s="105">
        <f t="shared" si="14"/>
        <v>2955.5913410100006</v>
      </c>
      <c r="AI9" s="54">
        <f t="shared" si="15"/>
        <v>774.3649313446202</v>
      </c>
      <c r="AJ9" s="121">
        <f t="shared" si="16"/>
        <v>3729.956272354621</v>
      </c>
    </row>
    <row r="10" spans="1:36" ht="12.75">
      <c r="A10" s="7">
        <v>5</v>
      </c>
      <c r="B10" s="11" t="s">
        <v>2</v>
      </c>
      <c r="C10" s="4">
        <v>122497</v>
      </c>
      <c r="D10" s="4">
        <v>102311</v>
      </c>
      <c r="E10" s="4"/>
      <c r="F10" s="4">
        <f t="shared" si="0"/>
        <v>77042</v>
      </c>
      <c r="G10" s="4">
        <v>6318</v>
      </c>
      <c r="H10" s="4">
        <f t="shared" si="5"/>
        <v>369801.6</v>
      </c>
      <c r="I10" s="4">
        <f t="shared" si="1"/>
        <v>677969.6</v>
      </c>
      <c r="J10" s="4">
        <f t="shared" si="2"/>
        <v>8135635.199999999</v>
      </c>
      <c r="K10" s="4">
        <v>201742</v>
      </c>
      <c r="L10" s="4"/>
      <c r="M10" s="3"/>
      <c r="N10" s="5">
        <f t="shared" si="6"/>
        <v>90033.68000000001</v>
      </c>
      <c r="O10" s="112">
        <f t="shared" si="7"/>
        <v>10104465.64512</v>
      </c>
      <c r="P10" s="105">
        <f t="shared" si="8"/>
        <v>10104.46564512</v>
      </c>
      <c r="Q10" s="54">
        <f t="shared" si="9"/>
        <v>2647.3699990214404</v>
      </c>
      <c r="R10" s="121">
        <f t="shared" si="10"/>
        <v>12751.835644141442</v>
      </c>
      <c r="S10" s="7">
        <v>5</v>
      </c>
      <c r="T10" s="11" t="s">
        <v>2</v>
      </c>
      <c r="U10" s="4">
        <v>122497</v>
      </c>
      <c r="V10" s="4">
        <v>102311</v>
      </c>
      <c r="W10" s="4"/>
      <c r="X10" s="4">
        <f t="shared" si="3"/>
        <v>77042</v>
      </c>
      <c r="Y10" s="4">
        <v>6318</v>
      </c>
      <c r="Z10" s="4">
        <f t="shared" si="11"/>
        <v>369801.6</v>
      </c>
      <c r="AA10" s="4">
        <f t="shared" si="17"/>
        <v>677969.6</v>
      </c>
      <c r="AB10" s="4">
        <f t="shared" si="4"/>
        <v>8135635.199999999</v>
      </c>
      <c r="AC10" s="4">
        <v>201742</v>
      </c>
      <c r="AD10" s="4"/>
      <c r="AE10" s="3"/>
      <c r="AF10" s="5">
        <f t="shared" si="12"/>
        <v>90033.68000000001</v>
      </c>
      <c r="AG10" s="112">
        <f t="shared" si="13"/>
        <v>11013867.5531808</v>
      </c>
      <c r="AH10" s="105">
        <f t="shared" si="14"/>
        <v>11013.8675531808</v>
      </c>
      <c r="AI10" s="54">
        <f t="shared" si="15"/>
        <v>2885.6332989333696</v>
      </c>
      <c r="AJ10" s="121">
        <f t="shared" si="16"/>
        <v>13899.50085211417</v>
      </c>
    </row>
    <row r="11" spans="1:36" ht="12.75">
      <c r="A11" s="7">
        <v>6</v>
      </c>
      <c r="B11" s="11" t="s">
        <v>3</v>
      </c>
      <c r="C11" s="4">
        <v>77860</v>
      </c>
      <c r="D11" s="4">
        <v>86545</v>
      </c>
      <c r="E11" s="4"/>
      <c r="F11" s="4">
        <f t="shared" si="0"/>
        <v>57182.666666666664</v>
      </c>
      <c r="G11" s="4">
        <v>7143</v>
      </c>
      <c r="H11" s="4">
        <f t="shared" si="5"/>
        <v>274476.8</v>
      </c>
      <c r="I11" s="4">
        <f t="shared" si="1"/>
        <v>503207.4666666667</v>
      </c>
      <c r="J11" s="4">
        <f t="shared" si="2"/>
        <v>6038489.6</v>
      </c>
      <c r="K11" s="4">
        <v>156607</v>
      </c>
      <c r="L11" s="4"/>
      <c r="M11" s="3"/>
      <c r="N11" s="5">
        <f t="shared" si="6"/>
        <v>76159.6</v>
      </c>
      <c r="O11" s="112">
        <f t="shared" si="7"/>
        <v>7519236.1838</v>
      </c>
      <c r="P11" s="105">
        <f t="shared" si="8"/>
        <v>7519.2361838</v>
      </c>
      <c r="Q11" s="54">
        <f t="shared" si="9"/>
        <v>1970.0398801556</v>
      </c>
      <c r="R11" s="121">
        <f t="shared" si="10"/>
        <v>9489.2760639556</v>
      </c>
      <c r="S11" s="7">
        <v>6</v>
      </c>
      <c r="T11" s="11" t="s">
        <v>3</v>
      </c>
      <c r="U11" s="4">
        <v>77860</v>
      </c>
      <c r="V11" s="4">
        <v>86545</v>
      </c>
      <c r="W11" s="4"/>
      <c r="X11" s="4">
        <f t="shared" si="3"/>
        <v>57182.666666666664</v>
      </c>
      <c r="Y11" s="4">
        <v>7143</v>
      </c>
      <c r="Z11" s="4">
        <f t="shared" si="11"/>
        <v>274476.8</v>
      </c>
      <c r="AA11" s="4">
        <f t="shared" si="17"/>
        <v>503207.4666666667</v>
      </c>
      <c r="AB11" s="4">
        <f t="shared" si="4"/>
        <v>6038489.6</v>
      </c>
      <c r="AC11" s="4">
        <v>156607</v>
      </c>
      <c r="AD11" s="4"/>
      <c r="AE11" s="3"/>
      <c r="AF11" s="5">
        <f t="shared" si="12"/>
        <v>76159.6</v>
      </c>
      <c r="AG11" s="112">
        <f t="shared" si="13"/>
        <v>8195967.440342001</v>
      </c>
      <c r="AH11" s="105">
        <f t="shared" si="14"/>
        <v>8195.967440342001</v>
      </c>
      <c r="AI11" s="54">
        <f t="shared" si="15"/>
        <v>2147.3434693696045</v>
      </c>
      <c r="AJ11" s="121">
        <f t="shared" si="16"/>
        <v>10343.310909711607</v>
      </c>
    </row>
    <row r="12" spans="1:36" ht="12.75">
      <c r="A12" s="7">
        <v>7</v>
      </c>
      <c r="B12" s="11" t="s">
        <v>4</v>
      </c>
      <c r="C12" s="4">
        <v>83023</v>
      </c>
      <c r="D12" s="4">
        <v>67091</v>
      </c>
      <c r="E12" s="4"/>
      <c r="F12" s="4">
        <f t="shared" si="0"/>
        <v>51549.666666666664</v>
      </c>
      <c r="G12" s="4">
        <v>4535</v>
      </c>
      <c r="H12" s="4">
        <f t="shared" si="5"/>
        <v>247438.39999999997</v>
      </c>
      <c r="I12" s="4">
        <f t="shared" si="1"/>
        <v>453637.06666666665</v>
      </c>
      <c r="J12" s="4">
        <f t="shared" si="2"/>
        <v>5443644.8</v>
      </c>
      <c r="K12" s="4">
        <v>129104</v>
      </c>
      <c r="L12" s="4"/>
      <c r="M12" s="3"/>
      <c r="N12" s="5">
        <f t="shared" si="6"/>
        <v>59040.08</v>
      </c>
      <c r="O12" s="112">
        <f t="shared" si="7"/>
        <v>6752514.8671200005</v>
      </c>
      <c r="P12" s="105">
        <f t="shared" si="8"/>
        <v>6752.51486712</v>
      </c>
      <c r="Q12" s="54">
        <f t="shared" si="9"/>
        <v>1769.15889518544</v>
      </c>
      <c r="R12" s="121">
        <f t="shared" si="10"/>
        <v>8521.67376230544</v>
      </c>
      <c r="S12" s="7">
        <v>7</v>
      </c>
      <c r="T12" s="11" t="s">
        <v>4</v>
      </c>
      <c r="U12" s="4">
        <v>83023</v>
      </c>
      <c r="V12" s="4">
        <v>67091</v>
      </c>
      <c r="W12" s="4"/>
      <c r="X12" s="4">
        <f t="shared" si="3"/>
        <v>51549.666666666664</v>
      </c>
      <c r="Y12" s="4">
        <v>4535</v>
      </c>
      <c r="Z12" s="4">
        <f t="shared" si="11"/>
        <v>247438.39999999997</v>
      </c>
      <c r="AA12" s="4">
        <f t="shared" si="17"/>
        <v>453637.06666666665</v>
      </c>
      <c r="AB12" s="4">
        <f t="shared" si="4"/>
        <v>5443644.8</v>
      </c>
      <c r="AC12" s="4">
        <v>129104</v>
      </c>
      <c r="AD12" s="4"/>
      <c r="AE12" s="3"/>
      <c r="AF12" s="5">
        <f t="shared" si="12"/>
        <v>59040.08</v>
      </c>
      <c r="AG12" s="112">
        <f t="shared" si="13"/>
        <v>7360241.205160801</v>
      </c>
      <c r="AH12" s="105">
        <f t="shared" si="14"/>
        <v>7360.241205160802</v>
      </c>
      <c r="AI12" s="54">
        <f t="shared" si="15"/>
        <v>1928.3831957521302</v>
      </c>
      <c r="AJ12" s="121">
        <f t="shared" si="16"/>
        <v>9288.624400912931</v>
      </c>
    </row>
    <row r="13" spans="1:36" ht="12.75">
      <c r="A13" s="7">
        <v>8</v>
      </c>
      <c r="B13" s="11" t="s">
        <v>6</v>
      </c>
      <c r="C13" s="4">
        <v>58272</v>
      </c>
      <c r="D13" s="4">
        <v>68034</v>
      </c>
      <c r="E13" s="4"/>
      <c r="F13" s="4">
        <f t="shared" si="0"/>
        <v>43657</v>
      </c>
      <c r="G13" s="4">
        <v>4665</v>
      </c>
      <c r="H13" s="4">
        <f t="shared" si="5"/>
        <v>209553.6</v>
      </c>
      <c r="I13" s="4">
        <f t="shared" si="1"/>
        <v>384181.6</v>
      </c>
      <c r="J13" s="4">
        <f t="shared" si="2"/>
        <v>4610179.199999999</v>
      </c>
      <c r="K13" s="4">
        <v>97934</v>
      </c>
      <c r="L13" s="4"/>
      <c r="M13" s="3"/>
      <c r="N13" s="5">
        <f t="shared" si="6"/>
        <v>59869.92000000001</v>
      </c>
      <c r="O13" s="112">
        <f t="shared" si="7"/>
        <v>5716811.760879999</v>
      </c>
      <c r="P13" s="105">
        <f t="shared" si="8"/>
        <v>5716.811760879999</v>
      </c>
      <c r="Q13" s="54">
        <f t="shared" si="9"/>
        <v>1497.8046813505598</v>
      </c>
      <c r="R13" s="121">
        <f t="shared" si="10"/>
        <v>7214.616442230559</v>
      </c>
      <c r="S13" s="7">
        <v>8</v>
      </c>
      <c r="T13" s="11" t="s">
        <v>6</v>
      </c>
      <c r="U13" s="4">
        <v>58272</v>
      </c>
      <c r="V13" s="4">
        <v>68034</v>
      </c>
      <c r="W13" s="4"/>
      <c r="X13" s="4">
        <f t="shared" si="3"/>
        <v>43657</v>
      </c>
      <c r="Y13" s="4">
        <v>4665</v>
      </c>
      <c r="Z13" s="4">
        <f t="shared" si="11"/>
        <v>209553.6</v>
      </c>
      <c r="AA13" s="4">
        <f t="shared" si="17"/>
        <v>384181.6</v>
      </c>
      <c r="AB13" s="4">
        <f t="shared" si="4"/>
        <v>4610179.199999999</v>
      </c>
      <c r="AC13" s="4">
        <v>97934</v>
      </c>
      <c r="AD13" s="4"/>
      <c r="AE13" s="3"/>
      <c r="AF13" s="5">
        <f t="shared" si="12"/>
        <v>59869.92000000001</v>
      </c>
      <c r="AG13" s="112">
        <f t="shared" si="13"/>
        <v>6231324.819359199</v>
      </c>
      <c r="AH13" s="105">
        <f t="shared" si="14"/>
        <v>6231.324819359199</v>
      </c>
      <c r="AI13" s="54">
        <f t="shared" si="15"/>
        <v>1632.6071026721102</v>
      </c>
      <c r="AJ13" s="121">
        <f t="shared" si="16"/>
        <v>7863.931922031309</v>
      </c>
    </row>
    <row r="14" spans="1:36" ht="12.75">
      <c r="A14" s="7">
        <v>9</v>
      </c>
      <c r="B14" s="11" t="s">
        <v>5</v>
      </c>
      <c r="C14" s="4">
        <v>65496</v>
      </c>
      <c r="D14" s="4">
        <v>76951</v>
      </c>
      <c r="E14" s="4"/>
      <c r="F14" s="4">
        <f t="shared" si="0"/>
        <v>49424.333333333336</v>
      </c>
      <c r="G14" s="4">
        <v>5826</v>
      </c>
      <c r="H14" s="4">
        <f t="shared" si="5"/>
        <v>237236.8</v>
      </c>
      <c r="I14" s="4">
        <f t="shared" si="1"/>
        <v>434934.1333333333</v>
      </c>
      <c r="J14" s="4">
        <f t="shared" si="2"/>
        <v>5219209.6</v>
      </c>
      <c r="K14" s="4">
        <v>107152</v>
      </c>
      <c r="L14" s="4"/>
      <c r="M14" s="3"/>
      <c r="N14" s="5">
        <f t="shared" si="6"/>
        <v>67716.88</v>
      </c>
      <c r="O14" s="112">
        <f t="shared" si="7"/>
        <v>6467500.09752</v>
      </c>
      <c r="P14" s="105">
        <f t="shared" si="8"/>
        <v>6467.50009752</v>
      </c>
      <c r="Q14" s="54">
        <f t="shared" si="9"/>
        <v>1694.4850255502402</v>
      </c>
      <c r="R14" s="121">
        <f t="shared" si="10"/>
        <v>8161.985123070241</v>
      </c>
      <c r="S14" s="7">
        <v>9</v>
      </c>
      <c r="T14" s="11" t="s">
        <v>5</v>
      </c>
      <c r="U14" s="4">
        <v>65496</v>
      </c>
      <c r="V14" s="4">
        <v>76951</v>
      </c>
      <c r="W14" s="4"/>
      <c r="X14" s="4">
        <f t="shared" si="3"/>
        <v>49424.333333333336</v>
      </c>
      <c r="Y14" s="4">
        <v>5826</v>
      </c>
      <c r="Z14" s="4">
        <f t="shared" si="11"/>
        <v>237236.8</v>
      </c>
      <c r="AA14" s="4">
        <f t="shared" si="17"/>
        <v>434934.1333333333</v>
      </c>
      <c r="AB14" s="4">
        <f t="shared" si="4"/>
        <v>5219209.6</v>
      </c>
      <c r="AC14" s="4">
        <v>107152</v>
      </c>
      <c r="AD14" s="4"/>
      <c r="AE14" s="3"/>
      <c r="AF14" s="5">
        <f t="shared" si="12"/>
        <v>67716.88</v>
      </c>
      <c r="AG14" s="112">
        <f t="shared" si="13"/>
        <v>7049575.106296801</v>
      </c>
      <c r="AH14" s="105">
        <f t="shared" si="14"/>
        <v>7049.575106296801</v>
      </c>
      <c r="AI14" s="54">
        <f t="shared" si="15"/>
        <v>1846.9886778497619</v>
      </c>
      <c r="AJ14" s="121">
        <f t="shared" si="16"/>
        <v>8896.563784146563</v>
      </c>
    </row>
    <row r="15" spans="1:36" ht="12.75">
      <c r="A15" s="7">
        <v>10</v>
      </c>
      <c r="B15" s="11" t="s">
        <v>7</v>
      </c>
      <c r="C15" s="4">
        <v>31362</v>
      </c>
      <c r="D15" s="4">
        <v>45399</v>
      </c>
      <c r="E15" s="4"/>
      <c r="F15" s="4">
        <f t="shared" si="0"/>
        <v>26249.333333333332</v>
      </c>
      <c r="G15" s="4">
        <v>1987</v>
      </c>
      <c r="H15" s="4">
        <f t="shared" si="5"/>
        <v>125996.79999999999</v>
      </c>
      <c r="I15" s="4">
        <f t="shared" si="1"/>
        <v>230994.1333333333</v>
      </c>
      <c r="J15" s="4">
        <f t="shared" si="2"/>
        <v>2771929.5999999996</v>
      </c>
      <c r="K15" s="4">
        <v>54649</v>
      </c>
      <c r="L15" s="4"/>
      <c r="M15" s="3"/>
      <c r="N15" s="5">
        <f t="shared" si="6"/>
        <v>39951.12000000001</v>
      </c>
      <c r="O15" s="112">
        <f t="shared" si="7"/>
        <v>3436969.13428</v>
      </c>
      <c r="P15" s="105">
        <f t="shared" si="8"/>
        <v>3436.9691342799997</v>
      </c>
      <c r="Q15" s="54">
        <f t="shared" si="9"/>
        <v>900.4859131813599</v>
      </c>
      <c r="R15" s="121">
        <f t="shared" si="10"/>
        <v>4337.45504746136</v>
      </c>
      <c r="S15" s="7">
        <v>10</v>
      </c>
      <c r="T15" s="11" t="s">
        <v>7</v>
      </c>
      <c r="U15" s="4">
        <v>31362</v>
      </c>
      <c r="V15" s="4">
        <v>45399</v>
      </c>
      <c r="W15" s="4"/>
      <c r="X15" s="4">
        <f t="shared" si="3"/>
        <v>26249.333333333332</v>
      </c>
      <c r="Y15" s="4">
        <v>1987</v>
      </c>
      <c r="Z15" s="4">
        <f t="shared" si="11"/>
        <v>125996.79999999999</v>
      </c>
      <c r="AA15" s="4">
        <f t="shared" si="17"/>
        <v>230994.1333333333</v>
      </c>
      <c r="AB15" s="4">
        <f t="shared" si="4"/>
        <v>2771929.5999999996</v>
      </c>
      <c r="AC15" s="4">
        <v>54649</v>
      </c>
      <c r="AD15" s="4"/>
      <c r="AE15" s="3"/>
      <c r="AF15" s="5">
        <f t="shared" si="12"/>
        <v>39951.12000000001</v>
      </c>
      <c r="AG15" s="112">
        <f t="shared" si="13"/>
        <v>3746296.3563652</v>
      </c>
      <c r="AH15" s="105">
        <f t="shared" si="14"/>
        <v>3746.2963563652</v>
      </c>
      <c r="AI15" s="54">
        <f t="shared" si="15"/>
        <v>981.5296453676825</v>
      </c>
      <c r="AJ15" s="121">
        <f t="shared" si="16"/>
        <v>4727.826001732883</v>
      </c>
    </row>
    <row r="16" spans="1:36" ht="12.75">
      <c r="A16" s="7">
        <v>11</v>
      </c>
      <c r="B16" s="11" t="s">
        <v>8</v>
      </c>
      <c r="C16" s="4">
        <v>31590</v>
      </c>
      <c r="D16" s="4">
        <v>45550</v>
      </c>
      <c r="E16" s="4"/>
      <c r="F16" s="4">
        <f t="shared" si="0"/>
        <v>26114</v>
      </c>
      <c r="G16" s="4">
        <v>1202</v>
      </c>
      <c r="H16" s="4">
        <f t="shared" si="5"/>
        <v>125347.2</v>
      </c>
      <c r="I16" s="4">
        <f t="shared" si="1"/>
        <v>229803.2</v>
      </c>
      <c r="J16" s="4">
        <f t="shared" si="2"/>
        <v>2757638.4000000004</v>
      </c>
      <c r="K16" s="4">
        <v>61997</v>
      </c>
      <c r="L16" s="4"/>
      <c r="M16" s="3"/>
      <c r="N16" s="5">
        <f t="shared" si="6"/>
        <v>40084</v>
      </c>
      <c r="O16" s="112">
        <f t="shared" si="7"/>
        <v>3428803.560600001</v>
      </c>
      <c r="P16" s="105">
        <f t="shared" si="8"/>
        <v>3428.8035606000008</v>
      </c>
      <c r="Q16" s="54">
        <f t="shared" si="9"/>
        <v>898.3465328772003</v>
      </c>
      <c r="R16" s="121">
        <f t="shared" si="10"/>
        <v>4327.150093477201</v>
      </c>
      <c r="S16" s="7">
        <v>11</v>
      </c>
      <c r="T16" s="11" t="s">
        <v>8</v>
      </c>
      <c r="U16" s="4">
        <v>31590</v>
      </c>
      <c r="V16" s="4">
        <v>45550</v>
      </c>
      <c r="W16" s="4"/>
      <c r="X16" s="4">
        <f t="shared" si="3"/>
        <v>26114</v>
      </c>
      <c r="Y16" s="4">
        <v>1202</v>
      </c>
      <c r="Z16" s="4">
        <f t="shared" si="11"/>
        <v>125347.2</v>
      </c>
      <c r="AA16" s="4">
        <f t="shared" si="17"/>
        <v>229803.2</v>
      </c>
      <c r="AB16" s="4">
        <f t="shared" si="4"/>
        <v>2757638.4000000004</v>
      </c>
      <c r="AC16" s="4">
        <v>61997</v>
      </c>
      <c r="AD16" s="4"/>
      <c r="AE16" s="3"/>
      <c r="AF16" s="5">
        <f t="shared" si="12"/>
        <v>40084</v>
      </c>
      <c r="AG16" s="112">
        <f t="shared" si="13"/>
        <v>3737395.8810540014</v>
      </c>
      <c r="AH16" s="105">
        <f t="shared" si="14"/>
        <v>3737.3958810540016</v>
      </c>
      <c r="AI16" s="54">
        <f t="shared" si="15"/>
        <v>979.1977208361485</v>
      </c>
      <c r="AJ16" s="121">
        <f t="shared" si="16"/>
        <v>4716.59360189015</v>
      </c>
    </row>
    <row r="17" spans="1:36" ht="12.75">
      <c r="A17" s="7">
        <v>12</v>
      </c>
      <c r="B17" s="11" t="s">
        <v>9</v>
      </c>
      <c r="C17" s="4">
        <v>7647</v>
      </c>
      <c r="D17" s="4">
        <v>29588</v>
      </c>
      <c r="E17" s="4"/>
      <c r="F17" s="4">
        <f t="shared" si="0"/>
        <v>13106</v>
      </c>
      <c r="G17" s="4">
        <v>2083</v>
      </c>
      <c r="H17" s="4">
        <f t="shared" si="5"/>
        <v>62908.799999999996</v>
      </c>
      <c r="I17" s="4">
        <f t="shared" si="1"/>
        <v>115332.79999999999</v>
      </c>
      <c r="J17" s="4">
        <f t="shared" si="2"/>
        <v>1383993.5999999999</v>
      </c>
      <c r="K17" s="4">
        <v>47557</v>
      </c>
      <c r="L17" s="4"/>
      <c r="M17" s="3"/>
      <c r="N17" s="5">
        <f t="shared" si="6"/>
        <v>26037.440000000002</v>
      </c>
      <c r="O17" s="112">
        <f t="shared" si="7"/>
        <v>1747648.05996</v>
      </c>
      <c r="P17" s="105">
        <f t="shared" si="8"/>
        <v>1747.64805996</v>
      </c>
      <c r="Q17" s="54">
        <f t="shared" si="9"/>
        <v>457.88379170952</v>
      </c>
      <c r="R17" s="121">
        <f t="shared" si="10"/>
        <v>2205.5318516695197</v>
      </c>
      <c r="S17" s="7">
        <v>12</v>
      </c>
      <c r="T17" s="11" t="s">
        <v>9</v>
      </c>
      <c r="U17" s="4">
        <v>7647</v>
      </c>
      <c r="V17" s="4">
        <v>29588</v>
      </c>
      <c r="W17" s="4"/>
      <c r="X17" s="4">
        <f t="shared" si="3"/>
        <v>13106</v>
      </c>
      <c r="Y17" s="4">
        <v>2083</v>
      </c>
      <c r="Z17" s="4">
        <f t="shared" si="11"/>
        <v>62908.799999999996</v>
      </c>
      <c r="AA17" s="4">
        <f t="shared" si="17"/>
        <v>115332.79999999999</v>
      </c>
      <c r="AB17" s="4">
        <f t="shared" si="4"/>
        <v>1383993.5999999999</v>
      </c>
      <c r="AC17" s="4">
        <v>47557</v>
      </c>
      <c r="AD17" s="4"/>
      <c r="AE17" s="3"/>
      <c r="AF17" s="5">
        <f t="shared" si="12"/>
        <v>26037.440000000002</v>
      </c>
      <c r="AG17" s="112">
        <f t="shared" si="13"/>
        <v>1904936.3853564002</v>
      </c>
      <c r="AH17" s="105">
        <f t="shared" si="14"/>
        <v>1904.9363853564003</v>
      </c>
      <c r="AI17" s="54">
        <f t="shared" si="15"/>
        <v>499.0933329633769</v>
      </c>
      <c r="AJ17" s="121">
        <f t="shared" si="16"/>
        <v>2404.029718319777</v>
      </c>
    </row>
    <row r="18" spans="1:36" ht="12.75">
      <c r="A18" s="7">
        <v>13</v>
      </c>
      <c r="B18" s="11" t="s">
        <v>10</v>
      </c>
      <c r="C18" s="4">
        <v>25399</v>
      </c>
      <c r="D18" s="4">
        <v>42011</v>
      </c>
      <c r="E18" s="4"/>
      <c r="F18" s="4">
        <f t="shared" si="0"/>
        <v>23051.333333333332</v>
      </c>
      <c r="G18" s="4">
        <v>1744</v>
      </c>
      <c r="H18" s="4">
        <f t="shared" si="5"/>
        <v>110646.4</v>
      </c>
      <c r="I18" s="4">
        <f t="shared" si="1"/>
        <v>202851.73333333334</v>
      </c>
      <c r="J18" s="4">
        <f t="shared" si="2"/>
        <v>2434220.8</v>
      </c>
      <c r="K18" s="4">
        <v>51231</v>
      </c>
      <c r="L18" s="4"/>
      <c r="M18" s="3"/>
      <c r="N18" s="5">
        <f t="shared" si="6"/>
        <v>36969.68000000001</v>
      </c>
      <c r="O18" s="112">
        <f t="shared" si="7"/>
        <v>3024383.35452</v>
      </c>
      <c r="P18" s="105">
        <f t="shared" si="8"/>
        <v>3024.38335452</v>
      </c>
      <c r="Q18" s="54">
        <f t="shared" si="9"/>
        <v>792.38843888424</v>
      </c>
      <c r="R18" s="121">
        <f t="shared" si="10"/>
        <v>3816.7717934042403</v>
      </c>
      <c r="S18" s="7">
        <v>13</v>
      </c>
      <c r="T18" s="11" t="s">
        <v>10</v>
      </c>
      <c r="U18" s="4">
        <v>25399</v>
      </c>
      <c r="V18" s="4">
        <v>42011</v>
      </c>
      <c r="W18" s="4"/>
      <c r="X18" s="4">
        <f t="shared" si="3"/>
        <v>23051.333333333332</v>
      </c>
      <c r="Y18" s="4">
        <v>1744</v>
      </c>
      <c r="Z18" s="4">
        <f t="shared" si="11"/>
        <v>110646.4</v>
      </c>
      <c r="AA18" s="4">
        <f t="shared" si="17"/>
        <v>202851.73333333334</v>
      </c>
      <c r="AB18" s="4">
        <f t="shared" si="4"/>
        <v>2434220.8</v>
      </c>
      <c r="AC18" s="4">
        <v>51231</v>
      </c>
      <c r="AD18" s="4"/>
      <c r="AE18" s="3"/>
      <c r="AF18" s="5">
        <f t="shared" si="12"/>
        <v>36969.68000000001</v>
      </c>
      <c r="AG18" s="112">
        <f t="shared" si="13"/>
        <v>3296577.8564268</v>
      </c>
      <c r="AH18" s="105">
        <f t="shared" si="14"/>
        <v>3296.5778564268003</v>
      </c>
      <c r="AI18" s="54">
        <f t="shared" si="15"/>
        <v>863.7033983838218</v>
      </c>
      <c r="AJ18" s="121">
        <f t="shared" si="16"/>
        <v>4160.281254810622</v>
      </c>
    </row>
    <row r="19" spans="1:36" ht="12.75">
      <c r="A19" s="7">
        <v>14</v>
      </c>
      <c r="B19" s="11" t="s">
        <v>11</v>
      </c>
      <c r="C19" s="4">
        <v>38908</v>
      </c>
      <c r="D19" s="4">
        <v>50955</v>
      </c>
      <c r="E19" s="4"/>
      <c r="F19" s="4">
        <f t="shared" si="0"/>
        <v>31316.666666666668</v>
      </c>
      <c r="G19" s="4">
        <v>4087</v>
      </c>
      <c r="H19" s="4">
        <f t="shared" si="5"/>
        <v>150320</v>
      </c>
      <c r="I19" s="4">
        <f t="shared" si="1"/>
        <v>275586.6666666667</v>
      </c>
      <c r="J19" s="4">
        <f t="shared" si="2"/>
        <v>3307040</v>
      </c>
      <c r="K19" s="4">
        <v>67289</v>
      </c>
      <c r="L19" s="4"/>
      <c r="M19" s="3"/>
      <c r="N19" s="5">
        <f t="shared" si="6"/>
        <v>44840.4</v>
      </c>
      <c r="O19" s="112">
        <f t="shared" si="7"/>
        <v>4099584.1106000007</v>
      </c>
      <c r="P19" s="105">
        <f t="shared" si="8"/>
        <v>4099.584110600001</v>
      </c>
      <c r="Q19" s="54">
        <f t="shared" si="9"/>
        <v>1074.0910369772002</v>
      </c>
      <c r="R19" s="121">
        <f t="shared" si="10"/>
        <v>5173.675147577201</v>
      </c>
      <c r="S19" s="7">
        <v>14</v>
      </c>
      <c r="T19" s="11" t="s">
        <v>11</v>
      </c>
      <c r="U19" s="4">
        <v>38908</v>
      </c>
      <c r="V19" s="4">
        <v>50955</v>
      </c>
      <c r="W19" s="4"/>
      <c r="X19" s="4">
        <f t="shared" si="3"/>
        <v>31316.666666666668</v>
      </c>
      <c r="Y19" s="4">
        <v>4087</v>
      </c>
      <c r="Z19" s="4">
        <f t="shared" si="11"/>
        <v>150320</v>
      </c>
      <c r="AA19" s="4">
        <f t="shared" si="17"/>
        <v>275586.6666666667</v>
      </c>
      <c r="AB19" s="4">
        <f t="shared" si="4"/>
        <v>3307040</v>
      </c>
      <c r="AC19" s="4">
        <v>67289</v>
      </c>
      <c r="AD19" s="4"/>
      <c r="AE19" s="3"/>
      <c r="AF19" s="5">
        <f t="shared" si="12"/>
        <v>44840.4</v>
      </c>
      <c r="AG19" s="112">
        <f t="shared" si="13"/>
        <v>4468546.680554001</v>
      </c>
      <c r="AH19" s="105">
        <f t="shared" si="14"/>
        <v>4468.546680554001</v>
      </c>
      <c r="AI19" s="54">
        <f t="shared" si="15"/>
        <v>1170.7592303051483</v>
      </c>
      <c r="AJ19" s="121">
        <f t="shared" si="16"/>
        <v>5639.30591085915</v>
      </c>
    </row>
    <row r="20" spans="1:36" ht="12.75">
      <c r="A20" s="7">
        <v>15</v>
      </c>
      <c r="B20" s="11" t="s">
        <v>12</v>
      </c>
      <c r="C20" s="4">
        <v>15519</v>
      </c>
      <c r="D20" s="4">
        <v>33493</v>
      </c>
      <c r="E20" s="4"/>
      <c r="F20" s="4">
        <f t="shared" si="0"/>
        <v>16982.666666666668</v>
      </c>
      <c r="G20" s="4">
        <v>1936</v>
      </c>
      <c r="H20" s="4">
        <f t="shared" si="5"/>
        <v>81516.8</v>
      </c>
      <c r="I20" s="4">
        <f t="shared" si="1"/>
        <v>149447.46666666667</v>
      </c>
      <c r="J20" s="4">
        <f t="shared" si="2"/>
        <v>1793369.6</v>
      </c>
      <c r="K20" s="4">
        <v>33157</v>
      </c>
      <c r="L20" s="4"/>
      <c r="M20" s="3"/>
      <c r="N20" s="5">
        <f t="shared" si="6"/>
        <v>29473.840000000004</v>
      </c>
      <c r="O20" s="112">
        <f t="shared" si="7"/>
        <v>2225344.527560001</v>
      </c>
      <c r="P20" s="105">
        <f t="shared" si="8"/>
        <v>2225.3445275600006</v>
      </c>
      <c r="Q20" s="54">
        <f t="shared" si="9"/>
        <v>583.0402662207202</v>
      </c>
      <c r="R20" s="121">
        <f t="shared" si="10"/>
        <v>2808.384793780721</v>
      </c>
      <c r="S20" s="7">
        <v>15</v>
      </c>
      <c r="T20" s="11" t="s">
        <v>12</v>
      </c>
      <c r="U20" s="4">
        <v>15519</v>
      </c>
      <c r="V20" s="4">
        <v>33493</v>
      </c>
      <c r="W20" s="4"/>
      <c r="X20" s="4">
        <f t="shared" si="3"/>
        <v>16982.666666666668</v>
      </c>
      <c r="Y20" s="4">
        <v>1936</v>
      </c>
      <c r="Z20" s="4">
        <f t="shared" si="11"/>
        <v>81516.8</v>
      </c>
      <c r="AA20" s="4">
        <f t="shared" si="17"/>
        <v>149447.46666666667</v>
      </c>
      <c r="AB20" s="4">
        <f t="shared" si="4"/>
        <v>1793369.6</v>
      </c>
      <c r="AC20" s="4">
        <v>33157</v>
      </c>
      <c r="AD20" s="4"/>
      <c r="AE20" s="3"/>
      <c r="AF20" s="5">
        <f t="shared" si="12"/>
        <v>29473.840000000004</v>
      </c>
      <c r="AG20" s="112">
        <f t="shared" si="13"/>
        <v>2425625.535040401</v>
      </c>
      <c r="AH20" s="105">
        <f t="shared" si="14"/>
        <v>2425.625535040401</v>
      </c>
      <c r="AI20" s="54">
        <f t="shared" si="15"/>
        <v>635.513890180585</v>
      </c>
      <c r="AJ20" s="121">
        <f t="shared" si="16"/>
        <v>3061.1394252209857</v>
      </c>
    </row>
    <row r="21" spans="1:36" ht="12.75">
      <c r="A21" s="7">
        <v>16</v>
      </c>
      <c r="B21" s="11" t="s">
        <v>13</v>
      </c>
      <c r="C21" s="4">
        <v>52981</v>
      </c>
      <c r="D21" s="4">
        <v>51896</v>
      </c>
      <c r="E21" s="4"/>
      <c r="F21" s="4">
        <f t="shared" si="0"/>
        <v>36297.333333333336</v>
      </c>
      <c r="G21" s="4">
        <v>4015</v>
      </c>
      <c r="H21" s="4">
        <f t="shared" si="5"/>
        <v>174227.2</v>
      </c>
      <c r="I21" s="4">
        <f t="shared" si="1"/>
        <v>319416.5333333333</v>
      </c>
      <c r="J21" s="4">
        <f t="shared" si="2"/>
        <v>3832998.4</v>
      </c>
      <c r="K21" s="4">
        <v>102965</v>
      </c>
      <c r="L21" s="4"/>
      <c r="M21" s="3"/>
      <c r="N21" s="5">
        <f t="shared" si="6"/>
        <v>45668.48000000001</v>
      </c>
      <c r="O21" s="112">
        <f t="shared" si="7"/>
        <v>4773976.624120001</v>
      </c>
      <c r="P21" s="105">
        <f t="shared" si="8"/>
        <v>4773.97662412</v>
      </c>
      <c r="Q21" s="54">
        <f t="shared" si="9"/>
        <v>1250.78187551944</v>
      </c>
      <c r="R21" s="121">
        <f t="shared" si="10"/>
        <v>6024.758499639441</v>
      </c>
      <c r="S21" s="7">
        <v>16</v>
      </c>
      <c r="T21" s="11" t="s">
        <v>13</v>
      </c>
      <c r="U21" s="4">
        <v>52981</v>
      </c>
      <c r="V21" s="4">
        <v>51896</v>
      </c>
      <c r="W21" s="4"/>
      <c r="X21" s="4">
        <f t="shared" si="3"/>
        <v>36297.333333333336</v>
      </c>
      <c r="Y21" s="4">
        <v>4015</v>
      </c>
      <c r="Z21" s="4">
        <f t="shared" si="11"/>
        <v>174227.2</v>
      </c>
      <c r="AA21" s="4">
        <f t="shared" si="17"/>
        <v>319416.5333333333</v>
      </c>
      <c r="AB21" s="4">
        <f t="shared" si="4"/>
        <v>3832998.4</v>
      </c>
      <c r="AC21" s="4">
        <v>102965</v>
      </c>
      <c r="AD21" s="4"/>
      <c r="AE21" s="3"/>
      <c r="AF21" s="5">
        <f t="shared" si="12"/>
        <v>45668.48000000001</v>
      </c>
      <c r="AG21" s="112">
        <f t="shared" si="13"/>
        <v>5203634.520290801</v>
      </c>
      <c r="AH21" s="105">
        <f t="shared" si="14"/>
        <v>5203.634520290801</v>
      </c>
      <c r="AI21" s="54">
        <f t="shared" si="15"/>
        <v>1363.35224431619</v>
      </c>
      <c r="AJ21" s="121">
        <f t="shared" si="16"/>
        <v>6566.9867646069915</v>
      </c>
    </row>
    <row r="22" spans="1:36" ht="12.75">
      <c r="A22" s="7">
        <v>17</v>
      </c>
      <c r="B22" s="11" t="s">
        <v>14</v>
      </c>
      <c r="C22" s="4">
        <v>27325</v>
      </c>
      <c r="D22" s="4">
        <v>52834</v>
      </c>
      <c r="E22" s="4"/>
      <c r="F22" s="4">
        <f t="shared" si="0"/>
        <v>27686.666666666668</v>
      </c>
      <c r="G22" s="4">
        <v>2901</v>
      </c>
      <c r="H22" s="4">
        <f t="shared" si="5"/>
        <v>132896</v>
      </c>
      <c r="I22" s="4">
        <f t="shared" si="1"/>
        <v>243642.6666666667</v>
      </c>
      <c r="J22" s="4">
        <f t="shared" si="2"/>
        <v>2923712</v>
      </c>
      <c r="K22" s="4">
        <v>63058</v>
      </c>
      <c r="L22" s="4"/>
      <c r="M22" s="3"/>
      <c r="N22" s="5">
        <f t="shared" si="6"/>
        <v>46493.920000000006</v>
      </c>
      <c r="O22" s="112">
        <f t="shared" si="7"/>
        <v>3636883.4400800006</v>
      </c>
      <c r="P22" s="105">
        <f t="shared" si="8"/>
        <v>3636.8834400800006</v>
      </c>
      <c r="Q22" s="54">
        <f t="shared" si="9"/>
        <v>952.8634613009602</v>
      </c>
      <c r="R22" s="121">
        <f t="shared" si="10"/>
        <v>4589.7469013809605</v>
      </c>
      <c r="S22" s="7">
        <v>17</v>
      </c>
      <c r="T22" s="11" t="s">
        <v>14</v>
      </c>
      <c r="U22" s="4">
        <v>27325</v>
      </c>
      <c r="V22" s="4">
        <v>52834</v>
      </c>
      <c r="W22" s="4"/>
      <c r="X22" s="4">
        <f t="shared" si="3"/>
        <v>27686.666666666668</v>
      </c>
      <c r="Y22" s="4">
        <v>2901</v>
      </c>
      <c r="Z22" s="4">
        <f t="shared" si="11"/>
        <v>132896</v>
      </c>
      <c r="AA22" s="4">
        <f t="shared" si="17"/>
        <v>243642.6666666667</v>
      </c>
      <c r="AB22" s="4">
        <f t="shared" si="4"/>
        <v>2923712</v>
      </c>
      <c r="AC22" s="4">
        <v>63058</v>
      </c>
      <c r="AD22" s="4"/>
      <c r="AE22" s="3"/>
      <c r="AF22" s="5">
        <f t="shared" si="12"/>
        <v>46493.920000000006</v>
      </c>
      <c r="AG22" s="112">
        <f t="shared" si="13"/>
        <v>3964202.949687201</v>
      </c>
      <c r="AH22" s="105">
        <f t="shared" si="14"/>
        <v>3964.202949687201</v>
      </c>
      <c r="AI22" s="54">
        <f t="shared" si="15"/>
        <v>1038.6211728180467</v>
      </c>
      <c r="AJ22" s="121">
        <f t="shared" si="16"/>
        <v>5002.824122505248</v>
      </c>
    </row>
    <row r="23" spans="1:36" ht="13.5" thickBot="1">
      <c r="A23" s="7"/>
      <c r="B23" s="44" t="s">
        <v>21</v>
      </c>
      <c r="C23" s="49">
        <f>SUM(C7:C22)</f>
        <v>910594</v>
      </c>
      <c r="D23" s="50">
        <f>SUM(D7:D22)</f>
        <v>1062200</v>
      </c>
      <c r="E23" s="17"/>
      <c r="F23" s="17">
        <f aca="true" t="shared" si="18" ref="F23:L23">SUM(F7:F22)</f>
        <v>678806.6666666666</v>
      </c>
      <c r="G23" s="49">
        <f t="shared" si="18"/>
        <v>63626</v>
      </c>
      <c r="H23" s="17">
        <f t="shared" si="18"/>
        <v>3258271.9999999995</v>
      </c>
      <c r="I23" s="49">
        <f t="shared" si="18"/>
        <v>5973498.666666667</v>
      </c>
      <c r="J23" s="49">
        <f t="shared" si="18"/>
        <v>71681984</v>
      </c>
      <c r="K23" s="49">
        <f t="shared" si="18"/>
        <v>1655613</v>
      </c>
      <c r="L23" s="17">
        <f t="shared" si="18"/>
        <v>209066</v>
      </c>
      <c r="M23" s="50"/>
      <c r="N23" s="19">
        <f>SUM(N7:N22)</f>
        <v>14682900.685933335</v>
      </c>
      <c r="O23" s="113">
        <f>SUM(O7:O22)</f>
        <v>105787246.85943404</v>
      </c>
      <c r="P23" s="106">
        <f>SUM(P7:P22)</f>
        <v>105787.24685943408</v>
      </c>
      <c r="Q23" s="55">
        <f>SUM(Q7:Q22)</f>
        <v>27716.25867717173</v>
      </c>
      <c r="R23" s="122">
        <f>SUM(R7:R22)</f>
        <v>133503.50553660584</v>
      </c>
      <c r="S23" s="7"/>
      <c r="T23" s="44" t="s">
        <v>21</v>
      </c>
      <c r="U23" s="49">
        <f>SUM(U7:U22)</f>
        <v>910594</v>
      </c>
      <c r="V23" s="50">
        <f>SUM(V7:V22)</f>
        <v>1062200</v>
      </c>
      <c r="W23" s="17"/>
      <c r="X23" s="17">
        <f aca="true" t="shared" si="19" ref="X23:AD23">SUM(X7:X22)</f>
        <v>678806.6666666666</v>
      </c>
      <c r="Y23" s="49">
        <f t="shared" si="19"/>
        <v>63626</v>
      </c>
      <c r="Z23" s="17">
        <f t="shared" si="19"/>
        <v>3258271.9999999995</v>
      </c>
      <c r="AA23" s="49">
        <f t="shared" si="19"/>
        <v>5973498.666666667</v>
      </c>
      <c r="AB23" s="49">
        <f t="shared" si="19"/>
        <v>71681984</v>
      </c>
      <c r="AC23" s="49">
        <f t="shared" si="19"/>
        <v>1655613</v>
      </c>
      <c r="AD23" s="17">
        <f t="shared" si="19"/>
        <v>209066</v>
      </c>
      <c r="AE23" s="50"/>
      <c r="AF23" s="19">
        <f>SUM(AF7:AF22)</f>
        <v>14682900.685933335</v>
      </c>
      <c r="AG23" s="113">
        <f>SUM(AG7:AG22)</f>
        <v>115308099.07678318</v>
      </c>
      <c r="AH23" s="106">
        <f>SUM(AH7:AH22)</f>
        <v>115308.09907678315</v>
      </c>
      <c r="AI23" s="55">
        <f>SUM(AI7:AI22)</f>
        <v>30210.72195811719</v>
      </c>
      <c r="AJ23" s="122">
        <f>SUM(AJ7:AJ22)</f>
        <v>145518.82103490032</v>
      </c>
    </row>
    <row r="24" spans="1:36" ht="12.75">
      <c r="A24" s="7"/>
      <c r="B24" s="20" t="s">
        <v>32</v>
      </c>
      <c r="C24" s="21"/>
      <c r="D24" s="21"/>
      <c r="E24" s="22"/>
      <c r="F24" s="22"/>
      <c r="G24" s="21"/>
      <c r="H24" s="22"/>
      <c r="I24" s="22"/>
      <c r="J24" s="22"/>
      <c r="K24" s="21"/>
      <c r="L24" s="22"/>
      <c r="M24" s="21"/>
      <c r="N24" s="35"/>
      <c r="O24" s="114"/>
      <c r="P24" s="107"/>
      <c r="Q24" s="52"/>
      <c r="R24" s="120"/>
      <c r="S24" s="7"/>
      <c r="T24" s="20" t="s">
        <v>32</v>
      </c>
      <c r="U24" s="21"/>
      <c r="V24" s="21"/>
      <c r="W24" s="22"/>
      <c r="X24" s="22"/>
      <c r="Y24" s="21"/>
      <c r="Z24" s="22"/>
      <c r="AA24" s="22"/>
      <c r="AB24" s="22"/>
      <c r="AC24" s="21"/>
      <c r="AD24" s="22"/>
      <c r="AE24" s="21"/>
      <c r="AF24" s="35"/>
      <c r="AG24" s="114"/>
      <c r="AH24" s="107"/>
      <c r="AI24" s="52"/>
      <c r="AJ24" s="120"/>
    </row>
    <row r="25" spans="1:36" ht="12.75">
      <c r="A25" s="7">
        <v>18</v>
      </c>
      <c r="B25" s="11" t="s">
        <v>15</v>
      </c>
      <c r="C25" s="4">
        <v>158360</v>
      </c>
      <c r="D25" s="3"/>
      <c r="E25" s="4">
        <f>(C25+G25)*15/85</f>
        <v>28840.058823529413</v>
      </c>
      <c r="F25" s="4">
        <f>D25*25/75</f>
        <v>0</v>
      </c>
      <c r="G25" s="4">
        <v>5067</v>
      </c>
      <c r="H25" s="4">
        <f t="shared" si="5"/>
        <v>230720.47058823527</v>
      </c>
      <c r="I25" s="4">
        <f>SUM(C25:H25)</f>
        <v>422987.5294117647</v>
      </c>
      <c r="J25" s="4">
        <f>I25*12</f>
        <v>5075850.352941176</v>
      </c>
      <c r="K25" s="4">
        <v>158361</v>
      </c>
      <c r="L25" s="4">
        <f>J25*0.02</f>
        <v>101517.00705882352</v>
      </c>
      <c r="M25" s="4">
        <f>I25*2</f>
        <v>845975.0588235294</v>
      </c>
      <c r="N25" s="5">
        <f>((C25*0.02*15/85)+(C25*0.02))*2.2*6</f>
        <v>49184.752941176484</v>
      </c>
      <c r="O25" s="112">
        <f>(J25+K25+L25+M25+N25)*1.1*1.09</f>
        <v>7470834.917945883</v>
      </c>
      <c r="P25" s="105">
        <f>O25/1000</f>
        <v>7470.834917945883</v>
      </c>
      <c r="Q25" s="54">
        <f>P25*0.262</f>
        <v>1957.3587485018213</v>
      </c>
      <c r="R25" s="121">
        <f>P25+Q25</f>
        <v>9428.193666447703</v>
      </c>
      <c r="S25" s="7">
        <v>18</v>
      </c>
      <c r="T25" s="11" t="s">
        <v>15</v>
      </c>
      <c r="U25" s="4">
        <v>158360</v>
      </c>
      <c r="V25" s="3"/>
      <c r="W25" s="4">
        <f>(U25+Y25)*15/85</f>
        <v>28840.058823529413</v>
      </c>
      <c r="X25" s="4">
        <f>V25*25/75</f>
        <v>0</v>
      </c>
      <c r="Y25" s="4">
        <v>5067</v>
      </c>
      <c r="Z25" s="4">
        <f>(SUM(U25:Y25))*1.2</f>
        <v>230720.47058823527</v>
      </c>
      <c r="AA25" s="4">
        <f>SUM(U25:Z25)</f>
        <v>422987.5294117647</v>
      </c>
      <c r="AB25" s="4">
        <f>AA25*12</f>
        <v>5075850.352941176</v>
      </c>
      <c r="AC25" s="4">
        <v>158361</v>
      </c>
      <c r="AD25" s="4">
        <f>AB25*0.02</f>
        <v>101517.00705882352</v>
      </c>
      <c r="AE25" s="4">
        <f>AA25*2</f>
        <v>845975.0588235294</v>
      </c>
      <c r="AF25" s="5">
        <f>((U25*0.02*15/85)+(U25*0.02))*2.2*6</f>
        <v>49184.752941176484</v>
      </c>
      <c r="AG25" s="112">
        <f>(AB25+AC25+AD25+AE25+AF25)*1.1*1.09*1.09</f>
        <v>8143210.060561013</v>
      </c>
      <c r="AH25" s="105">
        <f>AG25/1000</f>
        <v>8143.210060561013</v>
      </c>
      <c r="AI25" s="54">
        <f>AH25*0.262</f>
        <v>2133.5210358669856</v>
      </c>
      <c r="AJ25" s="121">
        <f>AH25+AI25</f>
        <v>10276.731096427999</v>
      </c>
    </row>
    <row r="26" spans="1:36" ht="12.75">
      <c r="A26" s="7">
        <v>21</v>
      </c>
      <c r="B26" s="11" t="s">
        <v>16</v>
      </c>
      <c r="C26" s="4">
        <v>130952</v>
      </c>
      <c r="D26" s="3"/>
      <c r="E26" s="4">
        <f>(C26+G26)*15/85</f>
        <v>25088.470588235294</v>
      </c>
      <c r="F26" s="4">
        <f>D26*25/75</f>
        <v>0</v>
      </c>
      <c r="G26" s="4">
        <v>11216</v>
      </c>
      <c r="H26" s="4">
        <f t="shared" si="5"/>
        <v>200707.76470588235</v>
      </c>
      <c r="I26" s="4">
        <f>SUM(C26:H26)</f>
        <v>367964.23529411765</v>
      </c>
      <c r="J26" s="4">
        <f>I26*12</f>
        <v>4415570.823529412</v>
      </c>
      <c r="K26" s="4">
        <v>110969</v>
      </c>
      <c r="L26" s="4">
        <f>J26*0.02</f>
        <v>88311.41647058824</v>
      </c>
      <c r="M26" s="4">
        <f>I26*2</f>
        <v>735928.4705882353</v>
      </c>
      <c r="N26" s="5">
        <f>((C26*0.02*15/85)+(C26*0.02))*2.2*6</f>
        <v>40672.150588235294</v>
      </c>
      <c r="O26" s="112">
        <f>(J26+K26+L26+M26+N26)*1.1*1.09</f>
        <v>6464350.781550589</v>
      </c>
      <c r="P26" s="105">
        <f>O26/1000</f>
        <v>6464.350781550589</v>
      </c>
      <c r="Q26" s="54">
        <f>P26*0.262</f>
        <v>1693.6599047662544</v>
      </c>
      <c r="R26" s="121">
        <f>P26+Q26</f>
        <v>8158.010686316844</v>
      </c>
      <c r="S26" s="7">
        <v>21</v>
      </c>
      <c r="T26" s="11" t="s">
        <v>16</v>
      </c>
      <c r="U26" s="4">
        <v>130952</v>
      </c>
      <c r="V26" s="3"/>
      <c r="W26" s="4">
        <f>(U26+Y26)*15/85</f>
        <v>25088.470588235294</v>
      </c>
      <c r="X26" s="4">
        <f>V26*25/75</f>
        <v>0</v>
      </c>
      <c r="Y26" s="4">
        <v>11216</v>
      </c>
      <c r="Z26" s="4">
        <f>(SUM(U26:Y26))*1.2</f>
        <v>200707.76470588235</v>
      </c>
      <c r="AA26" s="4">
        <f>SUM(U26:Z26)</f>
        <v>367964.23529411765</v>
      </c>
      <c r="AB26" s="4">
        <f>AA26*12</f>
        <v>4415570.823529412</v>
      </c>
      <c r="AC26" s="4">
        <v>110969</v>
      </c>
      <c r="AD26" s="4">
        <f>AB26*0.02</f>
        <v>88311.41647058824</v>
      </c>
      <c r="AE26" s="4">
        <f>AA26*2</f>
        <v>735928.4705882353</v>
      </c>
      <c r="AF26" s="5">
        <f>((U26*0.02*15/85)+(U26*0.02))*2.2*6</f>
        <v>40672.150588235294</v>
      </c>
      <c r="AG26" s="112">
        <f>(AB26+AC26+AD26+AE26+AF26)*1.1*1.09*1.09</f>
        <v>7046142.351890143</v>
      </c>
      <c r="AH26" s="105">
        <f>AG26/1000</f>
        <v>7046.142351890143</v>
      </c>
      <c r="AI26" s="54">
        <f>AH26*0.262</f>
        <v>1846.0892961952175</v>
      </c>
      <c r="AJ26" s="121">
        <f>AH26+AI26</f>
        <v>8892.23164808536</v>
      </c>
    </row>
    <row r="27" spans="1:36" ht="13.5" thickBot="1">
      <c r="A27" s="7"/>
      <c r="B27" s="44" t="s">
        <v>20</v>
      </c>
      <c r="C27" s="18">
        <f>SUM(C25:C26)</f>
        <v>289312</v>
      </c>
      <c r="D27" s="16"/>
      <c r="E27" s="17">
        <f>(C27+G27)*15/85</f>
        <v>53928.529411764706</v>
      </c>
      <c r="F27" s="18">
        <f>SUM(F25:F26)</f>
        <v>0</v>
      </c>
      <c r="G27" s="18">
        <f>SUM(G25:G26)</f>
        <v>16283</v>
      </c>
      <c r="H27" s="17">
        <f>SUM(C27:G27)*1.2</f>
        <v>431428.23529411765</v>
      </c>
      <c r="I27" s="18">
        <f>SUM(I25:I26)</f>
        <v>790951.7647058824</v>
      </c>
      <c r="J27" s="18">
        <f>SUM(J25:J26)</f>
        <v>9491421.176470589</v>
      </c>
      <c r="K27" s="18">
        <f>SUM(K25:K26)</f>
        <v>269330</v>
      </c>
      <c r="L27" s="17">
        <f>J27*0.02</f>
        <v>189828.42352941178</v>
      </c>
      <c r="M27" s="18">
        <f aca="true" t="shared" si="20" ref="M27:R27">SUM(M25:M26)</f>
        <v>1581903.5294117648</v>
      </c>
      <c r="N27" s="40">
        <f t="shared" si="20"/>
        <v>89856.90352941178</v>
      </c>
      <c r="O27" s="113">
        <f t="shared" si="20"/>
        <v>13935185.699496472</v>
      </c>
      <c r="P27" s="106">
        <f t="shared" si="20"/>
        <v>13935.185699496473</v>
      </c>
      <c r="Q27" s="55">
        <f t="shared" si="20"/>
        <v>3651.0186532680755</v>
      </c>
      <c r="R27" s="122">
        <f t="shared" si="20"/>
        <v>17586.204352764547</v>
      </c>
      <c r="S27" s="7"/>
      <c r="T27" s="44" t="s">
        <v>20</v>
      </c>
      <c r="U27" s="18">
        <f>SUM(U25:U26)</f>
        <v>289312</v>
      </c>
      <c r="V27" s="16"/>
      <c r="W27" s="17">
        <f>(U27+Y27)*15/85</f>
        <v>53928.529411764706</v>
      </c>
      <c r="X27" s="18">
        <f>SUM(X25:X26)</f>
        <v>0</v>
      </c>
      <c r="Y27" s="18">
        <f>SUM(Y25:Y26)</f>
        <v>16283</v>
      </c>
      <c r="Z27" s="17">
        <f>SUM(U27:Y27)*1.2</f>
        <v>431428.23529411765</v>
      </c>
      <c r="AA27" s="18">
        <f>SUM(AA25:AA26)</f>
        <v>790951.7647058824</v>
      </c>
      <c r="AB27" s="18">
        <f>SUM(AB25:AB26)</f>
        <v>9491421.176470589</v>
      </c>
      <c r="AC27" s="18">
        <f>SUM(AC25:AC26)</f>
        <v>269330</v>
      </c>
      <c r="AD27" s="17">
        <f>AB27*0.02</f>
        <v>189828.42352941178</v>
      </c>
      <c r="AE27" s="18">
        <f aca="true" t="shared" si="21" ref="AE27:AJ27">SUM(AE25:AE26)</f>
        <v>1581903.5294117648</v>
      </c>
      <c r="AF27" s="40">
        <f t="shared" si="21"/>
        <v>89856.90352941178</v>
      </c>
      <c r="AG27" s="113">
        <f t="shared" si="21"/>
        <v>15189352.412451155</v>
      </c>
      <c r="AH27" s="106">
        <f t="shared" si="21"/>
        <v>15189.352412451157</v>
      </c>
      <c r="AI27" s="55">
        <f t="shared" si="21"/>
        <v>3979.6103320622033</v>
      </c>
      <c r="AJ27" s="122">
        <f t="shared" si="21"/>
        <v>19168.96274451336</v>
      </c>
    </row>
    <row r="28" spans="1:36" ht="12.75">
      <c r="A28" s="7"/>
      <c r="B28" s="23" t="s">
        <v>36</v>
      </c>
      <c r="C28" s="24"/>
      <c r="D28" s="24"/>
      <c r="E28" s="22"/>
      <c r="F28" s="25"/>
      <c r="G28" s="24"/>
      <c r="H28" s="22"/>
      <c r="I28" s="25"/>
      <c r="J28" s="25"/>
      <c r="K28" s="24"/>
      <c r="L28" s="22"/>
      <c r="M28" s="24"/>
      <c r="N28" s="36"/>
      <c r="O28" s="114"/>
      <c r="P28" s="108"/>
      <c r="Q28" s="52"/>
      <c r="R28" s="120"/>
      <c r="S28" s="7"/>
      <c r="T28" s="23" t="s">
        <v>36</v>
      </c>
      <c r="U28" s="24"/>
      <c r="V28" s="24"/>
      <c r="W28" s="22"/>
      <c r="X28" s="25"/>
      <c r="Y28" s="24"/>
      <c r="Z28" s="22"/>
      <c r="AA28" s="25"/>
      <c r="AB28" s="25"/>
      <c r="AC28" s="24"/>
      <c r="AD28" s="22"/>
      <c r="AE28" s="24"/>
      <c r="AF28" s="36"/>
      <c r="AG28" s="114"/>
      <c r="AH28" s="108"/>
      <c r="AI28" s="52"/>
      <c r="AJ28" s="120"/>
    </row>
    <row r="29" spans="1:36" ht="12.75">
      <c r="A29" s="7">
        <v>22</v>
      </c>
      <c r="B29" s="11" t="s">
        <v>18</v>
      </c>
      <c r="C29" s="4">
        <v>33505</v>
      </c>
      <c r="D29" s="3"/>
      <c r="E29" s="4">
        <f>(C29+G29)*15/85</f>
        <v>5939.117647058823</v>
      </c>
      <c r="F29" s="4">
        <f>D29*25/75</f>
        <v>0</v>
      </c>
      <c r="G29" s="4">
        <v>150</v>
      </c>
      <c r="H29" s="4">
        <f t="shared" si="5"/>
        <v>47512.94117647059</v>
      </c>
      <c r="I29" s="4">
        <f>SUM(C29:H29)</f>
        <v>87107.05882352941</v>
      </c>
      <c r="J29" s="4">
        <f>I29*12</f>
        <v>1045284.705882353</v>
      </c>
      <c r="K29" s="4">
        <f>22408*1.18</f>
        <v>26441.44</v>
      </c>
      <c r="L29" s="4"/>
      <c r="M29" s="3"/>
      <c r="N29" s="5">
        <f>((C29*0.01*15/85)+(C29*0.01))*2.2*6</f>
        <v>5203.129411764707</v>
      </c>
      <c r="O29" s="112">
        <f>(J29+K29+L29+M29+N29)*1.1*1.09</f>
        <v>1291238.2010776473</v>
      </c>
      <c r="P29" s="105">
        <f>O29/1000</f>
        <v>1291.2382010776473</v>
      </c>
      <c r="Q29" s="54">
        <f>P29*0.262</f>
        <v>338.3044086823436</v>
      </c>
      <c r="R29" s="121">
        <f>P29+Q29</f>
        <v>1629.542609759991</v>
      </c>
      <c r="S29" s="7">
        <v>22</v>
      </c>
      <c r="T29" s="11" t="s">
        <v>18</v>
      </c>
      <c r="U29" s="4">
        <v>33505</v>
      </c>
      <c r="V29" s="3"/>
      <c r="W29" s="4">
        <f>(U29+Y29)*15/85</f>
        <v>5939.117647058823</v>
      </c>
      <c r="X29" s="4">
        <f>V29*25/75</f>
        <v>0</v>
      </c>
      <c r="Y29" s="4">
        <v>150</v>
      </c>
      <c r="Z29" s="4">
        <f>(SUM(U29:Y29))*1.2</f>
        <v>47512.94117647059</v>
      </c>
      <c r="AA29" s="4">
        <f>SUM(U29:Z29)</f>
        <v>87107.05882352941</v>
      </c>
      <c r="AB29" s="4">
        <f>AA29*12</f>
        <v>1045284.705882353</v>
      </c>
      <c r="AC29" s="4">
        <f>22408*1.18</f>
        <v>26441.44</v>
      </c>
      <c r="AD29" s="4"/>
      <c r="AE29" s="3"/>
      <c r="AF29" s="5">
        <f>((U29*0.01*15/85)+(U29*0.01))*2.2*6</f>
        <v>5203.129411764707</v>
      </c>
      <c r="AG29" s="112">
        <f>(AB29+AC29+AD29+AE29+AF29)*1.1*1.09*1.09</f>
        <v>1407449.6391746355</v>
      </c>
      <c r="AH29" s="105">
        <f>AG29/1000</f>
        <v>1407.4496391746354</v>
      </c>
      <c r="AI29" s="54">
        <f>AH29*0.262</f>
        <v>368.7518054637545</v>
      </c>
      <c r="AJ29" s="121">
        <f>AH29+AI29</f>
        <v>1776.20144463839</v>
      </c>
    </row>
    <row r="30" spans="1:36" ht="12.75">
      <c r="A30" s="7">
        <v>23</v>
      </c>
      <c r="B30" s="11" t="s">
        <v>19</v>
      </c>
      <c r="C30" s="4">
        <v>44042</v>
      </c>
      <c r="D30" s="3"/>
      <c r="E30" s="4">
        <f>(C30+G30)*15/85</f>
        <v>7968.705882352941</v>
      </c>
      <c r="F30" s="4">
        <f>D30*25/75</f>
        <v>0</v>
      </c>
      <c r="G30" s="4">
        <v>1114</v>
      </c>
      <c r="H30" s="4">
        <f t="shared" si="5"/>
        <v>63749.64705882353</v>
      </c>
      <c r="I30" s="4">
        <f>SUM(C30:H30)</f>
        <v>116874.35294117648</v>
      </c>
      <c r="J30" s="4">
        <f>I30*12</f>
        <v>1402492.2352941176</v>
      </c>
      <c r="K30" s="4">
        <f>17043*1.18</f>
        <v>20110.739999999998</v>
      </c>
      <c r="L30" s="4"/>
      <c r="M30" s="3"/>
      <c r="N30" s="5">
        <f>((C30*0.01*15/85)+(C30*0.01))*2.2*6</f>
        <v>6839.463529411765</v>
      </c>
      <c r="O30" s="112">
        <f>(J30+K30+L30+M30+N30)*1.1*1.09</f>
        <v>1713901.4841494118</v>
      </c>
      <c r="P30" s="105">
        <f>O30/1000</f>
        <v>1713.9014841494118</v>
      </c>
      <c r="Q30" s="54">
        <f>P30*0.262</f>
        <v>449.0421888471459</v>
      </c>
      <c r="R30" s="121">
        <f>P30+Q30</f>
        <v>2162.943672996558</v>
      </c>
      <c r="S30" s="7">
        <v>23</v>
      </c>
      <c r="T30" s="11" t="s">
        <v>19</v>
      </c>
      <c r="U30" s="4">
        <v>44042</v>
      </c>
      <c r="V30" s="3"/>
      <c r="W30" s="4">
        <f>(U30+Y30)*15/85</f>
        <v>7968.705882352941</v>
      </c>
      <c r="X30" s="4">
        <f>V30*25/75</f>
        <v>0</v>
      </c>
      <c r="Y30" s="4">
        <v>1114</v>
      </c>
      <c r="Z30" s="4">
        <f>(SUM(U30:Y30))*1.2</f>
        <v>63749.64705882353</v>
      </c>
      <c r="AA30" s="4">
        <f>SUM(U30:Z30)</f>
        <v>116874.35294117648</v>
      </c>
      <c r="AB30" s="4">
        <f>AA30*12</f>
        <v>1402492.2352941176</v>
      </c>
      <c r="AC30" s="4">
        <f>17043*1.18</f>
        <v>20110.739999999998</v>
      </c>
      <c r="AD30" s="4"/>
      <c r="AE30" s="3"/>
      <c r="AF30" s="5">
        <f>((U30*0.01*15/85)+(U30*0.01))*2.2*6</f>
        <v>6839.463529411765</v>
      </c>
      <c r="AG30" s="112">
        <f>(AB30+AC30+AD30+AE30+AF30)*1.1*1.09*1.09</f>
        <v>1868152.617722859</v>
      </c>
      <c r="AH30" s="105">
        <f>AG30/1000</f>
        <v>1868.1526177228588</v>
      </c>
      <c r="AI30" s="54">
        <f>AH30*0.262</f>
        <v>489.45598584338904</v>
      </c>
      <c r="AJ30" s="121">
        <f>AH30+AI30</f>
        <v>2357.608603566248</v>
      </c>
    </row>
    <row r="31" spans="1:36" ht="13.5" thickBot="1">
      <c r="A31" s="7"/>
      <c r="B31" s="44" t="s">
        <v>22</v>
      </c>
      <c r="C31" s="18">
        <f aca="true" t="shared" si="22" ref="C31:K31">SUM(C29:C30)</f>
        <v>77547</v>
      </c>
      <c r="D31" s="16">
        <f t="shared" si="22"/>
        <v>0</v>
      </c>
      <c r="E31" s="17">
        <f>(C31+G31)*15/85</f>
        <v>13907.823529411764</v>
      </c>
      <c r="F31" s="18">
        <f t="shared" si="22"/>
        <v>0</v>
      </c>
      <c r="G31" s="18">
        <f t="shared" si="22"/>
        <v>1264</v>
      </c>
      <c r="H31" s="17">
        <f t="shared" si="5"/>
        <v>111262.58823529411</v>
      </c>
      <c r="I31" s="18">
        <f t="shared" si="22"/>
        <v>203981.4117647059</v>
      </c>
      <c r="J31" s="18">
        <f t="shared" si="22"/>
        <v>2447776.9411764704</v>
      </c>
      <c r="K31" s="18">
        <f t="shared" si="22"/>
        <v>46552.17999999999</v>
      </c>
      <c r="L31" s="12"/>
      <c r="M31" s="16"/>
      <c r="N31" s="40">
        <f>SUM(N29:N30)</f>
        <v>12042.592941176472</v>
      </c>
      <c r="O31" s="113">
        <f>SUM(O29:O30)</f>
        <v>3005139.685227059</v>
      </c>
      <c r="P31" s="109">
        <f>SUM(P29:P30)</f>
        <v>3005.139685227059</v>
      </c>
      <c r="Q31" s="41">
        <f>SUM(Q29:Q30)</f>
        <v>787.3465975294895</v>
      </c>
      <c r="R31" s="123">
        <f>SUM(R29:R30)</f>
        <v>3792.4862827565485</v>
      </c>
      <c r="S31" s="7"/>
      <c r="T31" s="44" t="s">
        <v>22</v>
      </c>
      <c r="U31" s="18">
        <f>SUM(U29:U30)</f>
        <v>77547</v>
      </c>
      <c r="V31" s="16">
        <f>SUM(V29:V30)</f>
        <v>0</v>
      </c>
      <c r="W31" s="17">
        <f>(U31+Y31)*15/85</f>
        <v>13907.823529411764</v>
      </c>
      <c r="X31" s="18">
        <f>SUM(X29:X30)</f>
        <v>0</v>
      </c>
      <c r="Y31" s="18">
        <f>SUM(Y29:Y30)</f>
        <v>1264</v>
      </c>
      <c r="Z31" s="17">
        <f>(SUM(U31:Y31))*1.2</f>
        <v>111262.58823529411</v>
      </c>
      <c r="AA31" s="18">
        <f>SUM(AA29:AA30)</f>
        <v>203981.4117647059</v>
      </c>
      <c r="AB31" s="18">
        <f>SUM(AB29:AB30)</f>
        <v>2447776.9411764704</v>
      </c>
      <c r="AC31" s="18">
        <f>SUM(AC29:AC30)</f>
        <v>46552.17999999999</v>
      </c>
      <c r="AD31" s="12"/>
      <c r="AE31" s="16"/>
      <c r="AF31" s="40">
        <f>SUM(AF29:AF30)</f>
        <v>12042.592941176472</v>
      </c>
      <c r="AG31" s="113">
        <f>SUM(AG29:AG30)</f>
        <v>3275602.256897494</v>
      </c>
      <c r="AH31" s="109">
        <f>SUM(AH29:AH30)</f>
        <v>3275.602256897494</v>
      </c>
      <c r="AI31" s="41">
        <f>SUM(AI29:AI30)</f>
        <v>858.2077913071436</v>
      </c>
      <c r="AJ31" s="123">
        <f>SUM(AJ29:AJ30)</f>
        <v>4133.8100482046375</v>
      </c>
    </row>
    <row r="32" spans="1:36" ht="13.5" thickBot="1">
      <c r="A32" s="7"/>
      <c r="B32" s="28"/>
      <c r="C32" s="29"/>
      <c r="D32" s="29"/>
      <c r="E32" s="30"/>
      <c r="F32" s="29"/>
      <c r="G32" s="31"/>
      <c r="H32" s="30"/>
      <c r="I32" s="29"/>
      <c r="J32" s="29"/>
      <c r="K32" s="31"/>
      <c r="L32" s="30"/>
      <c r="M32" s="29"/>
      <c r="N32" s="32"/>
      <c r="O32" s="115"/>
      <c r="P32" s="110"/>
      <c r="Q32" s="53"/>
      <c r="R32" s="124"/>
      <c r="S32" s="7"/>
      <c r="T32" s="28"/>
      <c r="U32" s="29"/>
      <c r="V32" s="29"/>
      <c r="W32" s="30"/>
      <c r="X32" s="29"/>
      <c r="Y32" s="31"/>
      <c r="Z32" s="30"/>
      <c r="AA32" s="29"/>
      <c r="AB32" s="29"/>
      <c r="AC32" s="31"/>
      <c r="AD32" s="30"/>
      <c r="AE32" s="29"/>
      <c r="AF32" s="32"/>
      <c r="AG32" s="115"/>
      <c r="AH32" s="110"/>
      <c r="AI32" s="53"/>
      <c r="AJ32" s="124"/>
    </row>
    <row r="33" spans="1:36" ht="13.5" thickBot="1">
      <c r="A33" s="7"/>
      <c r="B33" s="45" t="s">
        <v>46</v>
      </c>
      <c r="C33" s="27">
        <v>15161</v>
      </c>
      <c r="D33" s="26"/>
      <c r="E33" s="27">
        <f>(C33+D33)*15/85</f>
        <v>2675.470588235294</v>
      </c>
      <c r="F33" s="27"/>
      <c r="G33" s="27">
        <v>870</v>
      </c>
      <c r="H33" s="27">
        <f>(C33+E33+G33)*1.2</f>
        <v>22447.764705882353</v>
      </c>
      <c r="I33" s="33">
        <f>H33+G33+E33+C33</f>
        <v>41154.23529411765</v>
      </c>
      <c r="J33" s="27">
        <f>I33*12</f>
        <v>493850.8235294118</v>
      </c>
      <c r="K33" s="26">
        <v>15160</v>
      </c>
      <c r="L33" s="27"/>
      <c r="M33" s="26"/>
      <c r="N33" s="37"/>
      <c r="O33" s="116">
        <f>(J33+K33)*1.1*1.09</f>
        <v>610303.9774117649</v>
      </c>
      <c r="P33" s="75">
        <f>O33/1000</f>
        <v>610.3039774117649</v>
      </c>
      <c r="Q33" s="96">
        <f>P33*0.262</f>
        <v>159.8996420818824</v>
      </c>
      <c r="R33" s="125">
        <f>P33+Q33</f>
        <v>770.2036194936472</v>
      </c>
      <c r="S33" s="7"/>
      <c r="T33" s="45" t="s">
        <v>46</v>
      </c>
      <c r="U33" s="27">
        <v>15161</v>
      </c>
      <c r="V33" s="26"/>
      <c r="W33" s="27">
        <f>(U33+V33)*15/85</f>
        <v>2675.470588235294</v>
      </c>
      <c r="X33" s="27"/>
      <c r="Y33" s="27">
        <v>870</v>
      </c>
      <c r="Z33" s="27">
        <f>(U33+W33+Y33)*1.2</f>
        <v>22447.764705882353</v>
      </c>
      <c r="AA33" s="33">
        <f>Z33+Y33+W33+U33</f>
        <v>41154.23529411765</v>
      </c>
      <c r="AB33" s="27">
        <f>AA33*12</f>
        <v>493850.8235294118</v>
      </c>
      <c r="AC33" s="26">
        <v>15160</v>
      </c>
      <c r="AD33" s="27"/>
      <c r="AE33" s="26"/>
      <c r="AF33" s="37"/>
      <c r="AG33" s="116">
        <f>(AB33+AC33)*1.1*1.09*1.09</f>
        <v>665231.3353788238</v>
      </c>
      <c r="AH33" s="75">
        <f>AG33/1000</f>
        <v>665.2313353788238</v>
      </c>
      <c r="AI33" s="96">
        <f>AH33*0.262</f>
        <v>174.29060986925185</v>
      </c>
      <c r="AJ33" s="125">
        <f>AH33+AI33</f>
        <v>839.5219452480757</v>
      </c>
    </row>
    <row r="34" spans="1:36" ht="12.75">
      <c r="A34" s="7"/>
      <c r="B34" s="100" t="s">
        <v>47</v>
      </c>
      <c r="C34" s="22"/>
      <c r="D34" s="21"/>
      <c r="E34" s="22"/>
      <c r="F34" s="22"/>
      <c r="G34" s="22"/>
      <c r="H34" s="22"/>
      <c r="I34" s="94"/>
      <c r="J34" s="22"/>
      <c r="K34" s="21"/>
      <c r="L34" s="22"/>
      <c r="M34" s="21"/>
      <c r="N34" s="35"/>
      <c r="O34" s="117"/>
      <c r="P34" s="135">
        <f>7070*1.065</f>
        <v>7529.549999999999</v>
      </c>
      <c r="Q34" s="130">
        <f>P34*0.262</f>
        <v>1972.7421</v>
      </c>
      <c r="R34" s="126">
        <f>P34+Q34</f>
        <v>9502.292099999999</v>
      </c>
      <c r="S34" s="7"/>
      <c r="T34" s="100" t="s">
        <v>47</v>
      </c>
      <c r="U34" s="22"/>
      <c r="V34" s="21"/>
      <c r="W34" s="22"/>
      <c r="X34" s="22"/>
      <c r="Y34" s="22"/>
      <c r="Z34" s="22"/>
      <c r="AA34" s="94"/>
      <c r="AB34" s="22"/>
      <c r="AC34" s="21"/>
      <c r="AD34" s="22"/>
      <c r="AE34" s="21"/>
      <c r="AF34" s="35"/>
      <c r="AG34" s="117"/>
      <c r="AH34" s="135">
        <f>7070*1.065*1.082</f>
        <v>8146.9731</v>
      </c>
      <c r="AI34" s="130">
        <f>AH34*0.262</f>
        <v>2134.5069522000003</v>
      </c>
      <c r="AJ34" s="126">
        <f>AH34+AI34</f>
        <v>10281.4800522</v>
      </c>
    </row>
    <row r="35" spans="1:36" ht="12.75">
      <c r="A35" s="7"/>
      <c r="B35" s="101" t="s">
        <v>48</v>
      </c>
      <c r="C35" s="4"/>
      <c r="D35" s="3"/>
      <c r="E35" s="4"/>
      <c r="F35" s="4"/>
      <c r="G35" s="4"/>
      <c r="H35" s="4"/>
      <c r="I35" s="97"/>
      <c r="J35" s="4"/>
      <c r="K35" s="3"/>
      <c r="L35" s="4"/>
      <c r="M35" s="3"/>
      <c r="N35" s="102"/>
      <c r="O35" s="118"/>
      <c r="P35" s="134">
        <f>1195*1.065</f>
        <v>1272.675</v>
      </c>
      <c r="Q35" s="131">
        <f>P35*0.262</f>
        <v>333.44085</v>
      </c>
      <c r="R35" s="127">
        <f>P35+Q35</f>
        <v>1606.11585</v>
      </c>
      <c r="S35" s="7"/>
      <c r="T35" s="101" t="s">
        <v>48</v>
      </c>
      <c r="U35" s="4"/>
      <c r="V35" s="3"/>
      <c r="W35" s="4"/>
      <c r="X35" s="4"/>
      <c r="Y35" s="4"/>
      <c r="Z35" s="4"/>
      <c r="AA35" s="97"/>
      <c r="AB35" s="4"/>
      <c r="AC35" s="3"/>
      <c r="AD35" s="4"/>
      <c r="AE35" s="3"/>
      <c r="AF35" s="102"/>
      <c r="AG35" s="118"/>
      <c r="AH35" s="134">
        <f>1195*1.065*1.082</f>
        <v>1377.0343500000001</v>
      </c>
      <c r="AI35" s="131">
        <f>AH35*0.262</f>
        <v>360.78299970000006</v>
      </c>
      <c r="AJ35" s="127">
        <f>AH35+AI35</f>
        <v>1737.8173497000002</v>
      </c>
    </row>
    <row r="36" spans="1:36" ht="13.5" thickBot="1">
      <c r="A36" s="7"/>
      <c r="B36" s="95" t="s">
        <v>49</v>
      </c>
      <c r="C36" s="12"/>
      <c r="D36" s="98"/>
      <c r="E36" s="12"/>
      <c r="F36" s="12"/>
      <c r="G36" s="12"/>
      <c r="H36" s="12"/>
      <c r="I36" s="99"/>
      <c r="J36" s="12"/>
      <c r="K36" s="98"/>
      <c r="L36" s="12"/>
      <c r="M36" s="98"/>
      <c r="N36" s="103"/>
      <c r="O36" s="113"/>
      <c r="P36" s="106">
        <f>SUM(P34:P35)</f>
        <v>8802.224999999999</v>
      </c>
      <c r="Q36" s="132">
        <f>SUM(Q34:Q35)</f>
        <v>2306.18295</v>
      </c>
      <c r="R36" s="133">
        <f>SUM(R34:R35)</f>
        <v>11108.407949999999</v>
      </c>
      <c r="S36" s="7"/>
      <c r="T36" s="95" t="s">
        <v>49</v>
      </c>
      <c r="U36" s="12"/>
      <c r="V36" s="98"/>
      <c r="W36" s="12"/>
      <c r="X36" s="12"/>
      <c r="Y36" s="12"/>
      <c r="Z36" s="12"/>
      <c r="AA36" s="99"/>
      <c r="AB36" s="12"/>
      <c r="AC36" s="98"/>
      <c r="AD36" s="12"/>
      <c r="AE36" s="98"/>
      <c r="AF36" s="103"/>
      <c r="AG36" s="113"/>
      <c r="AH36" s="106">
        <f>SUM(AH34:AH35)</f>
        <v>9524.007450000001</v>
      </c>
      <c r="AI36" s="132">
        <f>SUM(AI34:AI35)</f>
        <v>2495.2899519000002</v>
      </c>
      <c r="AJ36" s="133">
        <f>SUM(AJ34:AJ35)</f>
        <v>12019.297401900001</v>
      </c>
    </row>
    <row r="37" spans="1:36" ht="13.5" thickBot="1">
      <c r="A37" s="7"/>
      <c r="B37" s="45"/>
      <c r="C37" s="27"/>
      <c r="D37" s="26"/>
      <c r="E37" s="27"/>
      <c r="F37" s="27"/>
      <c r="G37" s="27"/>
      <c r="H37" s="27"/>
      <c r="I37" s="33"/>
      <c r="J37" s="27"/>
      <c r="K37" s="26"/>
      <c r="L37" s="27"/>
      <c r="M37" s="26"/>
      <c r="N37" s="37"/>
      <c r="O37" s="116"/>
      <c r="P37" s="75"/>
      <c r="Q37" s="96"/>
      <c r="R37" s="128"/>
      <c r="S37" s="7"/>
      <c r="T37" s="45"/>
      <c r="U37" s="27"/>
      <c r="V37" s="26"/>
      <c r="W37" s="27"/>
      <c r="X37" s="27"/>
      <c r="Y37" s="27"/>
      <c r="Z37" s="27"/>
      <c r="AA37" s="33"/>
      <c r="AB37" s="27"/>
      <c r="AC37" s="26"/>
      <c r="AD37" s="27"/>
      <c r="AE37" s="26"/>
      <c r="AF37" s="37"/>
      <c r="AG37" s="116"/>
      <c r="AH37" s="75"/>
      <c r="AI37" s="96"/>
      <c r="AJ37" s="128"/>
    </row>
    <row r="38" spans="1:36" ht="13.5" thickBot="1">
      <c r="A38" s="7"/>
      <c r="B38" s="46" t="s">
        <v>37</v>
      </c>
      <c r="C38" s="30"/>
      <c r="D38" s="34"/>
      <c r="E38" s="30"/>
      <c r="F38" s="30"/>
      <c r="G38" s="30"/>
      <c r="H38" s="30"/>
      <c r="I38" s="30"/>
      <c r="J38" s="34"/>
      <c r="K38" s="34"/>
      <c r="L38" s="34"/>
      <c r="M38" s="34"/>
      <c r="N38" s="38"/>
      <c r="O38" s="119"/>
      <c r="P38" s="111">
        <f>P23+P27+P31+P33+P36</f>
        <v>132140.10122156938</v>
      </c>
      <c r="Q38" s="56">
        <f>Q23+Q27+Q31+Q33+Q36</f>
        <v>34620.70652005118</v>
      </c>
      <c r="R38" s="129">
        <f>R23+R27+R31+R33+R36</f>
        <v>166760.80774162058</v>
      </c>
      <c r="S38" s="7"/>
      <c r="T38" s="46" t="s">
        <v>37</v>
      </c>
      <c r="U38" s="30"/>
      <c r="V38" s="34"/>
      <c r="W38" s="30"/>
      <c r="X38" s="30"/>
      <c r="Y38" s="30"/>
      <c r="Z38" s="30"/>
      <c r="AA38" s="30"/>
      <c r="AB38" s="34"/>
      <c r="AC38" s="34"/>
      <c r="AD38" s="34"/>
      <c r="AE38" s="34"/>
      <c r="AF38" s="38"/>
      <c r="AG38" s="119"/>
      <c r="AH38" s="111">
        <f>AH23+AH27+AH31+AH33+AH36</f>
        <v>143962.29253151064</v>
      </c>
      <c r="AI38" s="56">
        <f>AI23+AI27+AI31+AI33+AI36</f>
        <v>37718.12064325579</v>
      </c>
      <c r="AJ38" s="129">
        <f>AJ23+AJ27+AJ31+AJ33+AJ36</f>
        <v>181680.41317476638</v>
      </c>
    </row>
    <row r="40" spans="3:32" ht="12.75">
      <c r="C40" s="286" t="s">
        <v>51</v>
      </c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U40" s="286" t="s">
        <v>53</v>
      </c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</row>
    <row r="41" spans="3:32" ht="12.75">
      <c r="C41" s="286" t="s">
        <v>50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U41" s="286" t="s">
        <v>54</v>
      </c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</row>
    <row r="42" spans="21:32" ht="12.75">
      <c r="U42" s="286" t="s">
        <v>55</v>
      </c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</row>
    <row r="50" spans="2:19" ht="17.2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43"/>
    </row>
    <row r="51" spans="2:19" ht="1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3"/>
    </row>
    <row r="52" spans="2:19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3"/>
    </row>
    <row r="53" spans="2:19" ht="12.7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42"/>
      <c r="S53" s="42"/>
    </row>
    <row r="54" spans="2:19" ht="12.75">
      <c r="B54" s="93"/>
      <c r="C54" s="93"/>
      <c r="D54" s="93"/>
      <c r="E54" s="93"/>
      <c r="F54" s="60"/>
      <c r="G54" s="60"/>
      <c r="H54" s="93"/>
      <c r="I54" s="93"/>
      <c r="J54" s="61"/>
      <c r="K54" s="61"/>
      <c r="L54" s="93"/>
      <c r="M54" s="93"/>
      <c r="N54" s="93"/>
      <c r="O54" s="93"/>
      <c r="P54" s="93"/>
      <c r="Q54" s="93"/>
      <c r="R54" s="42"/>
      <c r="S54" s="42"/>
    </row>
    <row r="55" spans="2:19" ht="12.75">
      <c r="B55" s="61"/>
      <c r="C55" s="61"/>
      <c r="D55" s="61"/>
      <c r="E55" s="61"/>
      <c r="F55" s="60"/>
      <c r="G55" s="60"/>
      <c r="H55" s="61"/>
      <c r="I55" s="61"/>
      <c r="J55" s="61"/>
      <c r="K55" s="61"/>
      <c r="L55" s="61"/>
      <c r="M55" s="62"/>
      <c r="N55" s="61"/>
      <c r="O55" s="61"/>
      <c r="P55" s="61"/>
      <c r="Q55" s="61"/>
      <c r="R55" s="59"/>
      <c r="S55" s="43"/>
    </row>
    <row r="56" spans="2:19" ht="12.75">
      <c r="B56" s="63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2"/>
      <c r="O56" s="65"/>
      <c r="P56" s="66"/>
      <c r="Q56" s="67"/>
      <c r="R56" s="68"/>
      <c r="S56" s="69"/>
    </row>
    <row r="57" spans="2:19" ht="12.75">
      <c r="B57" s="63"/>
      <c r="C57" s="64"/>
      <c r="D57" s="65"/>
      <c r="E57" s="65"/>
      <c r="F57" s="65"/>
      <c r="G57" s="65"/>
      <c r="H57" s="62"/>
      <c r="I57" s="65"/>
      <c r="J57" s="65"/>
      <c r="K57" s="65"/>
      <c r="L57" s="65"/>
      <c r="M57" s="65"/>
      <c r="N57" s="62"/>
      <c r="O57" s="65"/>
      <c r="P57" s="66"/>
      <c r="Q57" s="67"/>
      <c r="R57" s="68"/>
      <c r="S57" s="69"/>
    </row>
    <row r="58" spans="2:19" ht="12.75">
      <c r="B58" s="63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2"/>
      <c r="O58" s="65"/>
      <c r="P58" s="66"/>
      <c r="Q58" s="67"/>
      <c r="R58" s="68"/>
      <c r="S58" s="69"/>
    </row>
    <row r="59" spans="2:19" ht="12.75">
      <c r="B59" s="63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2"/>
      <c r="O59" s="65"/>
      <c r="P59" s="66"/>
      <c r="Q59" s="67"/>
      <c r="R59" s="68"/>
      <c r="S59" s="69"/>
    </row>
    <row r="60" spans="2:19" ht="12.75">
      <c r="B60" s="63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2"/>
      <c r="O60" s="65"/>
      <c r="P60" s="66"/>
      <c r="Q60" s="67"/>
      <c r="R60" s="68"/>
      <c r="S60" s="69"/>
    </row>
    <row r="61" spans="2:19" ht="12.75">
      <c r="B61" s="63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2"/>
      <c r="O61" s="65"/>
      <c r="P61" s="66"/>
      <c r="Q61" s="67"/>
      <c r="R61" s="68"/>
      <c r="S61" s="69"/>
    </row>
    <row r="62" spans="2:19" ht="12.75">
      <c r="B62" s="63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2"/>
      <c r="O62" s="65"/>
      <c r="P62" s="66"/>
      <c r="Q62" s="67"/>
      <c r="R62" s="68"/>
      <c r="S62" s="69"/>
    </row>
    <row r="63" spans="2:19" ht="12.75">
      <c r="B63" s="63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2"/>
      <c r="O63" s="65"/>
      <c r="P63" s="66"/>
      <c r="Q63" s="67"/>
      <c r="R63" s="68"/>
      <c r="S63" s="69"/>
    </row>
    <row r="64" spans="2:19" ht="12.75">
      <c r="B64" s="63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2"/>
      <c r="O64" s="65"/>
      <c r="P64" s="66"/>
      <c r="Q64" s="67"/>
      <c r="R64" s="68"/>
      <c r="S64" s="69"/>
    </row>
    <row r="65" spans="2:19" ht="12.75">
      <c r="B65" s="63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2"/>
      <c r="O65" s="65"/>
      <c r="P65" s="66"/>
      <c r="Q65" s="67"/>
      <c r="R65" s="68"/>
      <c r="S65" s="69"/>
    </row>
    <row r="66" spans="2:19" ht="12.75">
      <c r="B66" s="63"/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2"/>
      <c r="O66" s="65"/>
      <c r="P66" s="66"/>
      <c r="Q66" s="67"/>
      <c r="R66" s="68"/>
      <c r="S66" s="69"/>
    </row>
    <row r="67" spans="2:19" ht="12.75">
      <c r="B67" s="63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2"/>
      <c r="O67" s="65"/>
      <c r="P67" s="66"/>
      <c r="Q67" s="67"/>
      <c r="R67" s="68"/>
      <c r="S67" s="69"/>
    </row>
    <row r="68" spans="2:19" ht="12.75">
      <c r="B68" s="63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2"/>
      <c r="O68" s="65"/>
      <c r="P68" s="66"/>
      <c r="Q68" s="67"/>
      <c r="R68" s="68"/>
      <c r="S68" s="69"/>
    </row>
    <row r="69" spans="2:19" ht="12.75"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2"/>
      <c r="O69" s="65"/>
      <c r="P69" s="66"/>
      <c r="Q69" s="67"/>
      <c r="R69" s="68"/>
      <c r="S69" s="69"/>
    </row>
    <row r="70" spans="2:19" ht="12.75">
      <c r="B70" s="63"/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2"/>
      <c r="O70" s="65"/>
      <c r="P70" s="66"/>
      <c r="Q70" s="67"/>
      <c r="R70" s="68"/>
      <c r="S70" s="69"/>
    </row>
    <row r="71" spans="2:19" ht="12.75">
      <c r="B71" s="63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2"/>
      <c r="O71" s="65"/>
      <c r="P71" s="66"/>
      <c r="Q71" s="67"/>
      <c r="R71" s="68"/>
      <c r="S71" s="69"/>
    </row>
    <row r="72" spans="2:19" ht="12.75">
      <c r="B72" s="63"/>
      <c r="C72" s="70"/>
      <c r="D72" s="71"/>
      <c r="E72" s="72"/>
      <c r="F72" s="73"/>
      <c r="G72" s="73"/>
      <c r="H72" s="71"/>
      <c r="I72" s="73"/>
      <c r="J72" s="71"/>
      <c r="K72" s="71"/>
      <c r="L72" s="71"/>
      <c r="M72" s="73"/>
      <c r="N72" s="72"/>
      <c r="O72" s="73"/>
      <c r="P72" s="74"/>
      <c r="Q72" s="75"/>
      <c r="R72" s="76"/>
      <c r="S72" s="76"/>
    </row>
    <row r="73" spans="2:19" ht="12.75">
      <c r="B73" s="63"/>
      <c r="C73" s="77"/>
      <c r="D73" s="62"/>
      <c r="E73" s="62"/>
      <c r="F73" s="65"/>
      <c r="G73" s="65"/>
      <c r="H73" s="62"/>
      <c r="I73" s="65"/>
      <c r="J73" s="65"/>
      <c r="K73" s="65"/>
      <c r="L73" s="62"/>
      <c r="M73" s="65"/>
      <c r="N73" s="62"/>
      <c r="O73" s="62"/>
      <c r="P73" s="66"/>
      <c r="Q73" s="65"/>
      <c r="R73" s="48"/>
      <c r="S73" s="43"/>
    </row>
    <row r="74" spans="2:19" ht="12.75">
      <c r="B74" s="63"/>
      <c r="C74" s="64"/>
      <c r="D74" s="65"/>
      <c r="E74" s="62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6"/>
      <c r="Q74" s="67"/>
      <c r="R74" s="68"/>
      <c r="S74" s="69"/>
    </row>
    <row r="75" spans="2:19" ht="12.75">
      <c r="B75" s="63"/>
      <c r="C75" s="64"/>
      <c r="D75" s="65"/>
      <c r="E75" s="6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9"/>
    </row>
    <row r="76" spans="2:19" ht="12.75">
      <c r="B76" s="63"/>
      <c r="C76" s="70"/>
      <c r="D76" s="78"/>
      <c r="E76" s="79"/>
      <c r="F76" s="73"/>
      <c r="G76" s="78"/>
      <c r="H76" s="78"/>
      <c r="I76" s="73"/>
      <c r="J76" s="78"/>
      <c r="K76" s="78"/>
      <c r="L76" s="78"/>
      <c r="M76" s="73"/>
      <c r="N76" s="78"/>
      <c r="O76" s="78"/>
      <c r="P76" s="74"/>
      <c r="Q76" s="75"/>
      <c r="R76" s="76"/>
      <c r="S76" s="76"/>
    </row>
    <row r="77" spans="2:19" ht="12.75">
      <c r="B77" s="63"/>
      <c r="C77" s="80"/>
      <c r="D77" s="79"/>
      <c r="E77" s="79"/>
      <c r="F77" s="65"/>
      <c r="G77" s="78"/>
      <c r="H77" s="79"/>
      <c r="I77" s="65"/>
      <c r="J77" s="78"/>
      <c r="K77" s="78"/>
      <c r="L77" s="79"/>
      <c r="M77" s="65"/>
      <c r="N77" s="79"/>
      <c r="O77" s="79"/>
      <c r="P77" s="66"/>
      <c r="Q77" s="67"/>
      <c r="R77" s="48"/>
      <c r="S77" s="43"/>
    </row>
    <row r="78" spans="2:19" ht="12.75">
      <c r="B78" s="63"/>
      <c r="C78" s="64"/>
      <c r="D78" s="65"/>
      <c r="E78" s="62"/>
      <c r="F78" s="65"/>
      <c r="G78" s="65"/>
      <c r="H78" s="65"/>
      <c r="I78" s="65"/>
      <c r="J78" s="65"/>
      <c r="K78" s="65"/>
      <c r="L78" s="65"/>
      <c r="M78" s="65"/>
      <c r="N78" s="62"/>
      <c r="O78" s="65"/>
      <c r="P78" s="66"/>
      <c r="Q78" s="67"/>
      <c r="R78" s="68"/>
      <c r="S78" s="69"/>
    </row>
    <row r="79" spans="2:19" ht="12.75">
      <c r="B79" s="63"/>
      <c r="C79" s="64"/>
      <c r="D79" s="65"/>
      <c r="E79" s="62"/>
      <c r="F79" s="65"/>
      <c r="G79" s="65"/>
      <c r="H79" s="65"/>
      <c r="I79" s="65"/>
      <c r="J79" s="65"/>
      <c r="K79" s="65"/>
      <c r="L79" s="65"/>
      <c r="M79" s="65"/>
      <c r="N79" s="62"/>
      <c r="O79" s="65"/>
      <c r="P79" s="66"/>
      <c r="Q79" s="67"/>
      <c r="R79" s="68"/>
      <c r="S79" s="69"/>
    </row>
    <row r="80" spans="2:19" ht="12.75">
      <c r="B80" s="63"/>
      <c r="C80" s="70"/>
      <c r="D80" s="78"/>
      <c r="E80" s="79"/>
      <c r="F80" s="73"/>
      <c r="G80" s="78"/>
      <c r="H80" s="78"/>
      <c r="I80" s="73"/>
      <c r="J80" s="78"/>
      <c r="K80" s="78"/>
      <c r="L80" s="78"/>
      <c r="M80" s="65"/>
      <c r="N80" s="79"/>
      <c r="O80" s="78"/>
      <c r="P80" s="74"/>
      <c r="Q80" s="81"/>
      <c r="R80" s="82"/>
      <c r="S80" s="82"/>
    </row>
    <row r="81" spans="2:19" ht="12.75">
      <c r="B81" s="63"/>
      <c r="C81" s="83"/>
      <c r="D81" s="84"/>
      <c r="E81" s="84"/>
      <c r="F81" s="73"/>
      <c r="G81" s="84"/>
      <c r="H81" s="85"/>
      <c r="I81" s="73"/>
      <c r="J81" s="84"/>
      <c r="K81" s="84"/>
      <c r="L81" s="85"/>
      <c r="M81" s="73"/>
      <c r="N81" s="84"/>
      <c r="O81" s="84"/>
      <c r="P81" s="74"/>
      <c r="Q81" s="86"/>
      <c r="R81" s="87"/>
      <c r="S81" s="88"/>
    </row>
    <row r="82" spans="2:19" ht="12.75">
      <c r="B82" s="63"/>
      <c r="C82" s="57"/>
      <c r="D82" s="65"/>
      <c r="E82" s="62"/>
      <c r="F82" s="65"/>
      <c r="G82" s="65"/>
      <c r="H82" s="65"/>
      <c r="I82" s="65"/>
      <c r="J82" s="84"/>
      <c r="K82" s="65"/>
      <c r="L82" s="62"/>
      <c r="M82" s="65"/>
      <c r="N82" s="62"/>
      <c r="O82" s="62"/>
      <c r="P82" s="66"/>
      <c r="Q82" s="67"/>
      <c r="R82" s="68"/>
      <c r="S82" s="69"/>
    </row>
    <row r="83" spans="2:19" ht="12.75">
      <c r="B83" s="89"/>
      <c r="C83" s="90"/>
      <c r="D83" s="73"/>
      <c r="E83" s="91"/>
      <c r="F83" s="73"/>
      <c r="G83" s="73"/>
      <c r="H83" s="73"/>
      <c r="I83" s="73"/>
      <c r="J83" s="73"/>
      <c r="K83" s="91"/>
      <c r="L83" s="91"/>
      <c r="M83" s="91"/>
      <c r="N83" s="91"/>
      <c r="O83" s="73"/>
      <c r="P83" s="91"/>
      <c r="Q83" s="75"/>
      <c r="R83" s="75"/>
      <c r="S83" s="75"/>
    </row>
  </sheetData>
  <sheetProtection/>
  <mergeCells count="39">
    <mergeCell ref="A1:Q1"/>
    <mergeCell ref="A4:A5"/>
    <mergeCell ref="B4:B5"/>
    <mergeCell ref="C4:C5"/>
    <mergeCell ref="D4:D5"/>
    <mergeCell ref="E4:F4"/>
    <mergeCell ref="G4:G5"/>
    <mergeCell ref="H4:H5"/>
    <mergeCell ref="I4:J4"/>
    <mergeCell ref="K4:K5"/>
    <mergeCell ref="S1:AI1"/>
    <mergeCell ref="S4:S5"/>
    <mergeCell ref="T4:T5"/>
    <mergeCell ref="U4:U5"/>
    <mergeCell ref="V4:V5"/>
    <mergeCell ref="W4:X4"/>
    <mergeCell ref="Y4:Y5"/>
    <mergeCell ref="Z4:Z5"/>
    <mergeCell ref="AA4:AB4"/>
    <mergeCell ref="AD4:AD5"/>
    <mergeCell ref="P4:P5"/>
    <mergeCell ref="Q4:Q5"/>
    <mergeCell ref="R4:R5"/>
    <mergeCell ref="AJ4:AJ5"/>
    <mergeCell ref="AE4:AE5"/>
    <mergeCell ref="AF4:AF5"/>
    <mergeCell ref="AG4:AG5"/>
    <mergeCell ref="AH4:AH5"/>
    <mergeCell ref="AI4:AI5"/>
    <mergeCell ref="U40:AF40"/>
    <mergeCell ref="U41:AF41"/>
    <mergeCell ref="U42:AF42"/>
    <mergeCell ref="C40:N40"/>
    <mergeCell ref="C41:N41"/>
    <mergeCell ref="L4:L5"/>
    <mergeCell ref="M4:M5"/>
    <mergeCell ref="N4:N5"/>
    <mergeCell ref="AC4:AC5"/>
    <mergeCell ref="O4:O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J521"/>
  <sheetViews>
    <sheetView tabSelected="1" zoomScalePageLayoutView="0" workbookViewId="0" topLeftCell="A1">
      <selection activeCell="C314" sqref="C314"/>
    </sheetView>
  </sheetViews>
  <sheetFormatPr defaultColWidth="9.00390625" defaultRowHeight="12.75"/>
  <cols>
    <col min="1" max="1" width="3.625" style="0" customWidth="1"/>
    <col min="2" max="2" width="39.50390625" style="0" customWidth="1"/>
    <col min="3" max="3" width="14.00390625" style="0" customWidth="1"/>
    <col min="4" max="4" width="22.50390625" style="0" customWidth="1"/>
    <col min="5" max="5" width="18.50390625" style="0" customWidth="1"/>
    <col min="6" max="6" width="16.625" style="0" customWidth="1"/>
    <col min="7" max="7" width="19.375" style="0" customWidth="1"/>
    <col min="8" max="8" width="16.50390625" style="0" customWidth="1"/>
    <col min="9" max="9" width="35.625" style="0" customWidth="1"/>
  </cols>
  <sheetData>
    <row r="2" ht="0.75" customHeight="1">
      <c r="B2" s="152"/>
    </row>
    <row r="3" ht="16.5" hidden="1">
      <c r="B3" s="137" t="s">
        <v>56</v>
      </c>
    </row>
    <row r="4" spans="1:9" ht="33" customHeight="1">
      <c r="A4" s="384" t="s">
        <v>280</v>
      </c>
      <c r="B4" s="384"/>
      <c r="C4" s="384"/>
      <c r="D4" s="384"/>
      <c r="E4" s="384"/>
      <c r="F4" s="384"/>
      <c r="G4" s="384"/>
      <c r="H4" s="384"/>
      <c r="I4" s="384"/>
    </row>
    <row r="5" spans="1:9" ht="13.5" customHeight="1">
      <c r="A5" s="237"/>
      <c r="B5" s="237"/>
      <c r="C5" s="237"/>
      <c r="D5" s="237"/>
      <c r="E5" s="237"/>
      <c r="F5" s="237"/>
      <c r="G5" s="237"/>
      <c r="H5" s="237"/>
      <c r="I5" s="237"/>
    </row>
    <row r="6" spans="2:9" ht="15" customHeight="1">
      <c r="B6" s="374"/>
      <c r="C6" s="374"/>
      <c r="D6" s="374"/>
      <c r="E6" s="374"/>
      <c r="F6" s="374"/>
      <c r="G6" s="374"/>
      <c r="H6" s="374"/>
      <c r="I6" s="374"/>
    </row>
    <row r="7" spans="2:9" ht="50.25" customHeight="1">
      <c r="B7" s="306" t="s">
        <v>273</v>
      </c>
      <c r="C7" s="173" t="s">
        <v>57</v>
      </c>
      <c r="D7" s="173" t="s">
        <v>58</v>
      </c>
      <c r="E7" s="173" t="s">
        <v>163</v>
      </c>
      <c r="F7" s="385" t="s">
        <v>164</v>
      </c>
      <c r="G7" s="386"/>
      <c r="H7" s="386"/>
      <c r="I7" s="174"/>
    </row>
    <row r="8" spans="2:9" ht="12.75">
      <c r="B8" s="306"/>
      <c r="C8" s="173"/>
      <c r="D8" s="173"/>
      <c r="E8" s="173"/>
      <c r="F8" s="158" t="s">
        <v>222</v>
      </c>
      <c r="G8" s="158" t="s">
        <v>223</v>
      </c>
      <c r="H8" s="158" t="s">
        <v>224</v>
      </c>
      <c r="I8" s="168"/>
    </row>
    <row r="9" spans="2:9" ht="12.75">
      <c r="B9" s="159">
        <v>1</v>
      </c>
      <c r="C9" s="159">
        <v>2</v>
      </c>
      <c r="D9" s="159">
        <v>3</v>
      </c>
      <c r="E9" s="159">
        <v>4</v>
      </c>
      <c r="F9" s="159">
        <v>5</v>
      </c>
      <c r="G9" s="159">
        <v>6</v>
      </c>
      <c r="H9" s="159">
        <v>7</v>
      </c>
      <c r="I9" s="172"/>
    </row>
    <row r="10" spans="2:9" ht="33" customHeight="1" thickBot="1">
      <c r="B10" s="334" t="s">
        <v>281</v>
      </c>
      <c r="C10" s="351"/>
      <c r="D10" s="351"/>
      <c r="E10" s="351"/>
      <c r="F10" s="351"/>
      <c r="G10" s="351"/>
      <c r="H10" s="351"/>
      <c r="I10" s="346"/>
    </row>
    <row r="11" spans="2:9" ht="12.75" customHeight="1">
      <c r="B11" s="332" t="s">
        <v>59</v>
      </c>
      <c r="C11" s="341"/>
      <c r="D11" s="341"/>
      <c r="E11" s="341"/>
      <c r="F11" s="341"/>
      <c r="G11" s="341"/>
      <c r="H11" s="341"/>
      <c r="I11" s="342"/>
    </row>
    <row r="12" spans="2:9" ht="32.25" customHeight="1" thickBot="1">
      <c r="B12" s="334" t="s">
        <v>60</v>
      </c>
      <c r="C12" s="351"/>
      <c r="D12" s="351"/>
      <c r="E12" s="351"/>
      <c r="F12" s="351"/>
      <c r="G12" s="351"/>
      <c r="H12" s="351"/>
      <c r="I12" s="346"/>
    </row>
    <row r="13" spans="2:9" ht="21" customHeight="1" thickBot="1">
      <c r="B13" s="352" t="s">
        <v>61</v>
      </c>
      <c r="C13" s="353"/>
      <c r="D13" s="353"/>
      <c r="E13" s="353"/>
      <c r="F13" s="353"/>
      <c r="G13" s="353"/>
      <c r="H13" s="353"/>
      <c r="I13" s="354"/>
    </row>
    <row r="14" spans="2:9" ht="10.5" customHeight="1">
      <c r="B14" s="355"/>
      <c r="C14" s="356"/>
      <c r="D14" s="356"/>
      <c r="E14" s="356"/>
      <c r="F14" s="356"/>
      <c r="G14" s="356"/>
      <c r="H14" s="356"/>
      <c r="I14" s="357"/>
    </row>
    <row r="15" spans="2:9" ht="21" customHeight="1">
      <c r="B15" s="327" t="s">
        <v>263</v>
      </c>
      <c r="C15" s="168"/>
      <c r="D15" s="159" t="s">
        <v>63</v>
      </c>
      <c r="E15" s="167">
        <f>F15+G15+H15</f>
        <v>2391127.73</v>
      </c>
      <c r="F15" s="167">
        <f>F17+F18+F20</f>
        <v>120000</v>
      </c>
      <c r="G15" s="167">
        <f>G17+G18+G20+G19</f>
        <v>1271127.73</v>
      </c>
      <c r="H15" s="167">
        <f>H17+H18+H20</f>
        <v>1000000</v>
      </c>
      <c r="I15" s="243" t="s">
        <v>64</v>
      </c>
    </row>
    <row r="16" spans="2:9" ht="21" customHeight="1">
      <c r="B16" s="327"/>
      <c r="C16" s="168" t="s">
        <v>62</v>
      </c>
      <c r="D16" s="158" t="s">
        <v>66</v>
      </c>
      <c r="E16" s="159"/>
      <c r="F16" s="164"/>
      <c r="G16" s="164"/>
      <c r="H16" s="164"/>
      <c r="I16" s="243" t="s">
        <v>65</v>
      </c>
    </row>
    <row r="17" spans="2:9" ht="19.5" customHeight="1">
      <c r="B17" s="327"/>
      <c r="C17" s="177"/>
      <c r="D17" s="158" t="s">
        <v>67</v>
      </c>
      <c r="E17" s="167">
        <f>F17+G17+H17</f>
        <v>0</v>
      </c>
      <c r="F17" s="164"/>
      <c r="G17" s="164"/>
      <c r="H17" s="164"/>
      <c r="I17" s="244"/>
    </row>
    <row r="18" spans="2:9" ht="25.5" customHeight="1">
      <c r="B18" s="185" t="s">
        <v>266</v>
      </c>
      <c r="C18" s="177"/>
      <c r="D18" s="158" t="s">
        <v>68</v>
      </c>
      <c r="E18" s="167">
        <f>F18+G18+H18</f>
        <v>2391127.73</v>
      </c>
      <c r="F18" s="164">
        <v>120000</v>
      </c>
      <c r="G18" s="165">
        <v>1271127.73</v>
      </c>
      <c r="H18" s="165">
        <v>1000000</v>
      </c>
      <c r="I18" s="244" t="s">
        <v>267</v>
      </c>
    </row>
    <row r="19" spans="2:9" ht="25.5" customHeight="1">
      <c r="B19" s="185" t="s">
        <v>264</v>
      </c>
      <c r="C19" s="177"/>
      <c r="D19" s="158" t="s">
        <v>68</v>
      </c>
      <c r="E19" s="167"/>
      <c r="F19" s="164"/>
      <c r="G19" s="165"/>
      <c r="H19" s="165"/>
      <c r="I19" s="244" t="s">
        <v>265</v>
      </c>
    </row>
    <row r="20" spans="2:9" ht="21" customHeight="1" hidden="1">
      <c r="B20" s="185"/>
      <c r="C20" s="177"/>
      <c r="D20" s="158" t="s">
        <v>69</v>
      </c>
      <c r="E20" s="167"/>
      <c r="F20" s="164"/>
      <c r="G20" s="165"/>
      <c r="H20" s="165"/>
      <c r="I20" s="244"/>
    </row>
    <row r="21" spans="2:9" ht="21" customHeight="1" hidden="1">
      <c r="B21" s="327" t="s">
        <v>194</v>
      </c>
      <c r="C21" s="168"/>
      <c r="D21" s="159" t="s">
        <v>63</v>
      </c>
      <c r="E21" s="159"/>
      <c r="F21" s="164"/>
      <c r="G21" s="167">
        <f>G24</f>
        <v>0</v>
      </c>
      <c r="H21" s="165">
        <f>H24</f>
        <v>0</v>
      </c>
      <c r="I21" s="310"/>
    </row>
    <row r="22" spans="2:9" ht="21" customHeight="1" hidden="1">
      <c r="B22" s="327"/>
      <c r="C22" s="168" t="s">
        <v>62</v>
      </c>
      <c r="D22" s="158" t="s">
        <v>66</v>
      </c>
      <c r="E22" s="159"/>
      <c r="F22" s="164"/>
      <c r="G22" s="164"/>
      <c r="H22" s="164"/>
      <c r="I22" s="310"/>
    </row>
    <row r="23" spans="2:9" ht="21" customHeight="1" hidden="1">
      <c r="B23" s="185"/>
      <c r="C23" s="177"/>
      <c r="D23" s="158" t="s">
        <v>67</v>
      </c>
      <c r="E23" s="159"/>
      <c r="F23" s="164"/>
      <c r="G23" s="164"/>
      <c r="H23" s="164"/>
      <c r="I23" s="310"/>
    </row>
    <row r="24" spans="2:9" ht="21" customHeight="1" hidden="1">
      <c r="B24" s="185"/>
      <c r="C24" s="177"/>
      <c r="D24" s="158" t="s">
        <v>68</v>
      </c>
      <c r="E24" s="159"/>
      <c r="F24" s="164"/>
      <c r="G24" s="165"/>
      <c r="H24" s="165"/>
      <c r="I24" s="310"/>
    </row>
    <row r="25" spans="2:9" ht="21" customHeight="1" hidden="1">
      <c r="B25" s="185"/>
      <c r="C25" s="177"/>
      <c r="D25" s="158" t="s">
        <v>69</v>
      </c>
      <c r="E25" s="159"/>
      <c r="F25" s="164"/>
      <c r="G25" s="240"/>
      <c r="H25" s="165"/>
      <c r="I25" s="310"/>
    </row>
    <row r="26" spans="2:9" ht="21" customHeight="1" hidden="1">
      <c r="B26" s="183"/>
      <c r="C26" s="168"/>
      <c r="D26" s="159" t="s">
        <v>63</v>
      </c>
      <c r="E26" s="159"/>
      <c r="F26" s="241"/>
      <c r="G26" s="167"/>
      <c r="H26" s="167"/>
      <c r="I26" s="310" t="s">
        <v>72</v>
      </c>
    </row>
    <row r="27" spans="2:9" ht="21" customHeight="1" hidden="1">
      <c r="B27" s="183" t="s">
        <v>70</v>
      </c>
      <c r="C27" s="168" t="s">
        <v>62</v>
      </c>
      <c r="D27" s="158" t="s">
        <v>66</v>
      </c>
      <c r="E27" s="159"/>
      <c r="F27" s="164"/>
      <c r="G27" s="164"/>
      <c r="H27" s="318"/>
      <c r="I27" s="310"/>
    </row>
    <row r="28" spans="2:9" ht="21" customHeight="1" hidden="1">
      <c r="B28" s="184" t="s">
        <v>71</v>
      </c>
      <c r="C28" s="177"/>
      <c r="D28" s="158" t="s">
        <v>67</v>
      </c>
      <c r="E28" s="159"/>
      <c r="F28" s="164"/>
      <c r="G28" s="164"/>
      <c r="H28" s="318"/>
      <c r="I28" s="310"/>
    </row>
    <row r="29" spans="2:9" ht="21" customHeight="1" hidden="1">
      <c r="B29" s="185"/>
      <c r="C29" s="177"/>
      <c r="D29" s="158" t="s">
        <v>68</v>
      </c>
      <c r="E29" s="159"/>
      <c r="F29" s="164"/>
      <c r="G29" s="165"/>
      <c r="H29" s="165"/>
      <c r="I29" s="310"/>
    </row>
    <row r="30" spans="2:9" ht="21" customHeight="1" hidden="1">
      <c r="B30" s="185"/>
      <c r="C30" s="177"/>
      <c r="D30" s="158" t="s">
        <v>69</v>
      </c>
      <c r="E30" s="159"/>
      <c r="F30" s="164"/>
      <c r="G30" s="165"/>
      <c r="H30" s="165"/>
      <c r="I30" s="310"/>
    </row>
    <row r="31" spans="2:9" ht="21" customHeight="1" hidden="1">
      <c r="B31" s="183"/>
      <c r="C31" s="158"/>
      <c r="D31" s="159" t="s">
        <v>63</v>
      </c>
      <c r="E31" s="159"/>
      <c r="F31" s="165">
        <v>0</v>
      </c>
      <c r="G31" s="165"/>
      <c r="H31" s="164"/>
      <c r="I31" s="223"/>
    </row>
    <row r="32" spans="2:9" ht="21" customHeight="1" hidden="1">
      <c r="B32" s="183" t="s">
        <v>73</v>
      </c>
      <c r="C32" s="168" t="s">
        <v>62</v>
      </c>
      <c r="D32" s="158" t="s">
        <v>66</v>
      </c>
      <c r="E32" s="159"/>
      <c r="F32" s="164"/>
      <c r="G32" s="164"/>
      <c r="H32" s="164"/>
      <c r="I32" s="350" t="s">
        <v>74</v>
      </c>
    </row>
    <row r="33" spans="2:9" ht="21" customHeight="1" hidden="1">
      <c r="B33" s="185"/>
      <c r="C33" s="177"/>
      <c r="D33" s="158" t="s">
        <v>67</v>
      </c>
      <c r="E33" s="159"/>
      <c r="F33" s="164"/>
      <c r="G33" s="164"/>
      <c r="H33" s="164"/>
      <c r="I33" s="350"/>
    </row>
    <row r="34" spans="2:9" ht="21" customHeight="1" hidden="1">
      <c r="B34" s="185"/>
      <c r="C34" s="177"/>
      <c r="D34" s="158" t="s">
        <v>68</v>
      </c>
      <c r="E34" s="159"/>
      <c r="F34" s="165">
        <v>0</v>
      </c>
      <c r="G34" s="165"/>
      <c r="H34" s="164"/>
      <c r="I34" s="350"/>
    </row>
    <row r="35" spans="2:9" ht="21" customHeight="1" hidden="1">
      <c r="B35" s="185"/>
      <c r="C35" s="177"/>
      <c r="D35" s="158" t="s">
        <v>69</v>
      </c>
      <c r="E35" s="159"/>
      <c r="F35" s="165"/>
      <c r="G35" s="165"/>
      <c r="H35" s="164"/>
      <c r="I35" s="350"/>
    </row>
    <row r="36" spans="2:9" ht="21" customHeight="1" hidden="1">
      <c r="B36" s="183"/>
      <c r="C36" s="158"/>
      <c r="D36" s="159" t="s">
        <v>63</v>
      </c>
      <c r="E36" s="159"/>
      <c r="F36" s="165">
        <v>0</v>
      </c>
      <c r="G36" s="165"/>
      <c r="H36" s="164"/>
      <c r="I36" s="387" t="s">
        <v>165</v>
      </c>
    </row>
    <row r="37" spans="2:9" ht="21" customHeight="1" hidden="1">
      <c r="B37" s="183" t="s">
        <v>75</v>
      </c>
      <c r="C37" s="168" t="s">
        <v>62</v>
      </c>
      <c r="D37" s="158" t="s">
        <v>66</v>
      </c>
      <c r="E37" s="159"/>
      <c r="F37" s="164"/>
      <c r="G37" s="164"/>
      <c r="H37" s="164"/>
      <c r="I37" s="387"/>
    </row>
    <row r="38" spans="2:9" ht="21" customHeight="1" hidden="1">
      <c r="B38" s="185"/>
      <c r="C38" s="177"/>
      <c r="D38" s="158" t="s">
        <v>67</v>
      </c>
      <c r="E38" s="159"/>
      <c r="F38" s="164"/>
      <c r="G38" s="164"/>
      <c r="H38" s="164"/>
      <c r="I38" s="387"/>
    </row>
    <row r="39" spans="2:9" ht="21" customHeight="1" hidden="1">
      <c r="B39" s="185"/>
      <c r="C39" s="177"/>
      <c r="D39" s="158" t="s">
        <v>68</v>
      </c>
      <c r="E39" s="159"/>
      <c r="F39" s="165">
        <v>0</v>
      </c>
      <c r="G39" s="165"/>
      <c r="H39" s="164"/>
      <c r="I39" s="387"/>
    </row>
    <row r="40" spans="2:9" ht="21" customHeight="1" hidden="1">
      <c r="B40" s="185"/>
      <c r="C40" s="177"/>
      <c r="D40" s="158" t="s">
        <v>69</v>
      </c>
      <c r="E40" s="159"/>
      <c r="F40" s="165"/>
      <c r="G40" s="165"/>
      <c r="H40" s="164"/>
      <c r="I40" s="387"/>
    </row>
    <row r="41" spans="2:9" ht="21" customHeight="1" hidden="1">
      <c r="B41" s="183"/>
      <c r="C41" s="158"/>
      <c r="D41" s="159" t="s">
        <v>63</v>
      </c>
      <c r="E41" s="159"/>
      <c r="F41" s="165">
        <v>0</v>
      </c>
      <c r="G41" s="165"/>
      <c r="H41" s="164"/>
      <c r="I41" s="310" t="s">
        <v>166</v>
      </c>
    </row>
    <row r="42" spans="2:9" ht="21" customHeight="1" hidden="1">
      <c r="B42" s="183" t="s">
        <v>76</v>
      </c>
      <c r="C42" s="168" t="s">
        <v>62</v>
      </c>
      <c r="D42" s="158" t="s">
        <v>66</v>
      </c>
      <c r="E42" s="159"/>
      <c r="F42" s="164"/>
      <c r="G42" s="164"/>
      <c r="H42" s="164"/>
      <c r="I42" s="310"/>
    </row>
    <row r="43" spans="2:9" ht="21" customHeight="1" hidden="1">
      <c r="B43" s="185"/>
      <c r="C43" s="177"/>
      <c r="D43" s="158" t="s">
        <v>67</v>
      </c>
      <c r="E43" s="159"/>
      <c r="F43" s="164"/>
      <c r="G43" s="164"/>
      <c r="H43" s="164"/>
      <c r="I43" s="310"/>
    </row>
    <row r="44" spans="2:9" ht="21" customHeight="1" hidden="1">
      <c r="B44" s="185"/>
      <c r="C44" s="177"/>
      <c r="D44" s="158" t="s">
        <v>68</v>
      </c>
      <c r="E44" s="159"/>
      <c r="F44" s="165">
        <v>0</v>
      </c>
      <c r="G44" s="165"/>
      <c r="H44" s="164"/>
      <c r="I44" s="310"/>
    </row>
    <row r="45" spans="2:9" ht="21" customHeight="1" hidden="1">
      <c r="B45" s="185"/>
      <c r="C45" s="177"/>
      <c r="D45" s="158" t="s">
        <v>69</v>
      </c>
      <c r="E45" s="159"/>
      <c r="F45" s="165"/>
      <c r="G45" s="165"/>
      <c r="H45" s="164"/>
      <c r="I45" s="310"/>
    </row>
    <row r="46" spans="2:9" ht="21" customHeight="1">
      <c r="B46" s="327" t="s">
        <v>245</v>
      </c>
      <c r="C46" s="306" t="s">
        <v>62</v>
      </c>
      <c r="D46" s="159" t="s">
        <v>63</v>
      </c>
      <c r="E46" s="167">
        <f>E48+E49</f>
        <v>2325126.55</v>
      </c>
      <c r="F46" s="167">
        <f>F48+F49</f>
        <v>595337.34</v>
      </c>
      <c r="G46" s="167">
        <f>G48+G49</f>
        <v>764789.21</v>
      </c>
      <c r="H46" s="241">
        <f>H48+H49</f>
        <v>965000</v>
      </c>
      <c r="I46" s="310"/>
    </row>
    <row r="47" spans="2:9" ht="17.25" customHeight="1">
      <c r="B47" s="327"/>
      <c r="C47" s="306"/>
      <c r="D47" s="158" t="s">
        <v>66</v>
      </c>
      <c r="E47" s="159"/>
      <c r="F47" s="164"/>
      <c r="G47" s="164"/>
      <c r="H47" s="164"/>
      <c r="I47" s="310"/>
    </row>
    <row r="48" spans="2:9" ht="18" customHeight="1">
      <c r="B48" s="327"/>
      <c r="C48" s="177"/>
      <c r="D48" s="158" t="s">
        <v>67</v>
      </c>
      <c r="E48" s="159"/>
      <c r="F48" s="164"/>
      <c r="G48" s="164"/>
      <c r="H48" s="164"/>
      <c r="I48" s="310"/>
    </row>
    <row r="49" spans="2:9" ht="19.5" customHeight="1">
      <c r="B49" s="327"/>
      <c r="C49" s="177"/>
      <c r="D49" s="158" t="s">
        <v>68</v>
      </c>
      <c r="E49" s="167">
        <f>F49+G49+H49</f>
        <v>2325126.55</v>
      </c>
      <c r="F49" s="165">
        <v>595337.34</v>
      </c>
      <c r="G49" s="165">
        <v>764789.21</v>
      </c>
      <c r="H49" s="164">
        <v>965000</v>
      </c>
      <c r="I49" s="310"/>
    </row>
    <row r="50" spans="2:9" ht="21" customHeight="1" hidden="1">
      <c r="B50" s="185"/>
      <c r="C50" s="177"/>
      <c r="D50" s="158" t="s">
        <v>69</v>
      </c>
      <c r="E50" s="159"/>
      <c r="F50" s="165"/>
      <c r="G50" s="165"/>
      <c r="H50" s="164"/>
      <c r="I50" s="310"/>
    </row>
    <row r="51" spans="2:9" ht="21" customHeight="1">
      <c r="B51" s="327" t="s">
        <v>246</v>
      </c>
      <c r="C51" s="358"/>
      <c r="D51" s="159" t="s">
        <v>63</v>
      </c>
      <c r="E51" s="167">
        <f>F51+G51+H51</f>
        <v>99492533.2</v>
      </c>
      <c r="F51" s="167">
        <f>F53+F52+F58</f>
        <v>26046826.37</v>
      </c>
      <c r="G51" s="167">
        <f>G53+G54+G58</f>
        <v>33247506.83</v>
      </c>
      <c r="H51" s="167">
        <f>H53+H54+H58</f>
        <v>40198200</v>
      </c>
      <c r="I51" s="226"/>
    </row>
    <row r="52" spans="2:9" ht="21" customHeight="1">
      <c r="B52" s="327"/>
      <c r="C52" s="358"/>
      <c r="D52" s="158" t="s">
        <v>67</v>
      </c>
      <c r="E52" s="159"/>
      <c r="F52" s="165">
        <f>F57</f>
        <v>0</v>
      </c>
      <c r="G52" s="165"/>
      <c r="H52" s="164"/>
      <c r="I52" s="350" t="s">
        <v>78</v>
      </c>
    </row>
    <row r="53" spans="2:9" ht="21" customHeight="1">
      <c r="B53" s="183" t="s">
        <v>196</v>
      </c>
      <c r="C53" s="168"/>
      <c r="D53" s="158" t="s">
        <v>68</v>
      </c>
      <c r="E53" s="167">
        <f>F53+G53+H53</f>
        <v>77262406.09</v>
      </c>
      <c r="F53" s="165">
        <v>18558845.84</v>
      </c>
      <c r="G53" s="165">
        <f>597691.58+25507668.67</f>
        <v>26105360.25</v>
      </c>
      <c r="H53" s="164">
        <v>32598200</v>
      </c>
      <c r="I53" s="350"/>
    </row>
    <row r="54" spans="2:9" ht="21" customHeight="1">
      <c r="B54" s="183"/>
      <c r="C54" s="168"/>
      <c r="D54" s="158" t="s">
        <v>68</v>
      </c>
      <c r="E54" s="167">
        <f>F54+G54+H54</f>
        <v>0</v>
      </c>
      <c r="F54" s="165"/>
      <c r="G54" s="165"/>
      <c r="H54" s="164"/>
      <c r="I54" s="350"/>
    </row>
    <row r="55" spans="2:9" ht="21" customHeight="1">
      <c r="B55" s="246" t="s">
        <v>197</v>
      </c>
      <c r="C55" s="168"/>
      <c r="D55" s="158"/>
      <c r="E55" s="167">
        <f>F55+G55+H55</f>
        <v>987271.87</v>
      </c>
      <c r="F55" s="165">
        <v>409300</v>
      </c>
      <c r="G55" s="165">
        <v>327971.87</v>
      </c>
      <c r="H55" s="164">
        <v>250000</v>
      </c>
      <c r="I55" s="350"/>
    </row>
    <row r="56" spans="2:9" ht="21" customHeight="1" hidden="1">
      <c r="B56" s="246" t="s">
        <v>198</v>
      </c>
      <c r="C56" s="168"/>
      <c r="D56" s="158"/>
      <c r="E56" s="167"/>
      <c r="F56" s="165"/>
      <c r="G56" s="165"/>
      <c r="H56" s="164"/>
      <c r="I56" s="350"/>
    </row>
    <row r="57" spans="2:9" ht="21" customHeight="1" hidden="1">
      <c r="B57" s="246" t="s">
        <v>252</v>
      </c>
      <c r="C57" s="168"/>
      <c r="D57" s="158"/>
      <c r="E57" s="167"/>
      <c r="F57" s="165"/>
      <c r="G57" s="165"/>
      <c r="H57" s="164"/>
      <c r="I57" s="350"/>
    </row>
    <row r="58" spans="2:9" ht="21" customHeight="1">
      <c r="B58" s="185"/>
      <c r="C58" s="168"/>
      <c r="D58" s="158" t="s">
        <v>69</v>
      </c>
      <c r="E58" s="167">
        <f>F58+G58+H58</f>
        <v>22230127.11</v>
      </c>
      <c r="F58" s="165">
        <v>7487980.53</v>
      </c>
      <c r="G58" s="165">
        <v>7142146.58</v>
      </c>
      <c r="H58" s="164">
        <v>7600000</v>
      </c>
      <c r="I58" s="350"/>
    </row>
    <row r="59" spans="2:9" ht="21" customHeight="1">
      <c r="B59" s="327" t="s">
        <v>253</v>
      </c>
      <c r="C59" s="168"/>
      <c r="D59" s="159" t="s">
        <v>63</v>
      </c>
      <c r="E59" s="167">
        <f>F59+G59+H59</f>
        <v>3113250</v>
      </c>
      <c r="F59" s="167">
        <f>F60+F61</f>
        <v>3113250</v>
      </c>
      <c r="G59" s="164"/>
      <c r="H59" s="164"/>
      <c r="I59" s="350"/>
    </row>
    <row r="60" spans="2:9" ht="21" customHeight="1">
      <c r="B60" s="327"/>
      <c r="C60" s="168"/>
      <c r="D60" s="158" t="s">
        <v>67</v>
      </c>
      <c r="E60" s="167">
        <f>F60+G60+H60</f>
        <v>3113250</v>
      </c>
      <c r="F60" s="165">
        <v>3113250</v>
      </c>
      <c r="G60" s="164"/>
      <c r="H60" s="164"/>
      <c r="I60" s="227"/>
    </row>
    <row r="61" spans="2:9" ht="21" customHeight="1">
      <c r="B61" s="183"/>
      <c r="C61" s="306" t="s">
        <v>62</v>
      </c>
      <c r="D61" s="158" t="s">
        <v>68</v>
      </c>
      <c r="E61" s="167">
        <f>F61+G61+H61</f>
        <v>0</v>
      </c>
      <c r="F61" s="165"/>
      <c r="G61" s="165"/>
      <c r="H61" s="164"/>
      <c r="I61" s="223"/>
    </row>
    <row r="62" spans="2:9" ht="21" customHeight="1">
      <c r="B62" s="327" t="s">
        <v>254</v>
      </c>
      <c r="C62" s="306"/>
      <c r="D62" s="159" t="s">
        <v>63</v>
      </c>
      <c r="E62" s="167">
        <f>F62+G62+H62</f>
        <v>125538944.34</v>
      </c>
      <c r="F62" s="167">
        <f>F64</f>
        <v>40599954</v>
      </c>
      <c r="G62" s="167">
        <f>G64</f>
        <v>43788990.34</v>
      </c>
      <c r="H62" s="167">
        <f>H64</f>
        <v>41150000</v>
      </c>
      <c r="I62" s="223"/>
    </row>
    <row r="63" spans="2:9" ht="21" customHeight="1">
      <c r="B63" s="327"/>
      <c r="C63" s="306"/>
      <c r="D63" s="158" t="s">
        <v>66</v>
      </c>
      <c r="E63" s="159"/>
      <c r="F63" s="165"/>
      <c r="G63" s="164"/>
      <c r="H63" s="164"/>
      <c r="I63" s="223"/>
    </row>
    <row r="64" spans="2:9" ht="21" customHeight="1">
      <c r="B64" s="183" t="s">
        <v>196</v>
      </c>
      <c r="C64" s="306"/>
      <c r="D64" s="158" t="s">
        <v>67</v>
      </c>
      <c r="E64" s="167">
        <f>F64+G64+H64</f>
        <v>125538944.34</v>
      </c>
      <c r="F64" s="165">
        <v>40599954</v>
      </c>
      <c r="G64" s="164">
        <v>43788990.34</v>
      </c>
      <c r="H64" s="164">
        <v>41150000</v>
      </c>
      <c r="I64" s="223"/>
    </row>
    <row r="65" spans="2:9" ht="24.75" customHeight="1">
      <c r="B65" s="247" t="s">
        <v>275</v>
      </c>
      <c r="C65" s="306"/>
      <c r="D65" s="158"/>
      <c r="E65" s="159"/>
      <c r="F65" s="165"/>
      <c r="G65" s="164">
        <f>931596+485870.01+12500</f>
        <v>1429966.01</v>
      </c>
      <c r="H65" s="164"/>
      <c r="I65" s="223"/>
    </row>
    <row r="66" spans="2:9" ht="21" customHeight="1">
      <c r="B66" s="378" t="s">
        <v>277</v>
      </c>
      <c r="C66" s="309" t="s">
        <v>62</v>
      </c>
      <c r="D66" s="159" t="s">
        <v>63</v>
      </c>
      <c r="E66" s="167">
        <f>F66+G66+H66</f>
        <v>1904074</v>
      </c>
      <c r="F66" s="165"/>
      <c r="G66" s="167">
        <f>G67</f>
        <v>1904074</v>
      </c>
      <c r="H66" s="164"/>
      <c r="I66" s="223"/>
    </row>
    <row r="67" spans="2:9" ht="21" customHeight="1">
      <c r="B67" s="379"/>
      <c r="C67" s="308"/>
      <c r="D67" s="158" t="s">
        <v>68</v>
      </c>
      <c r="E67" s="167">
        <f>F67+G67+H67</f>
        <v>1904074</v>
      </c>
      <c r="F67" s="165"/>
      <c r="G67" s="165">
        <v>1904074</v>
      </c>
      <c r="H67" s="164"/>
      <c r="I67" s="223" t="s">
        <v>276</v>
      </c>
    </row>
    <row r="68" spans="2:9" ht="21" customHeight="1">
      <c r="B68" s="327" t="s">
        <v>278</v>
      </c>
      <c r="C68" s="306" t="s">
        <v>62</v>
      </c>
      <c r="D68" s="159" t="s">
        <v>63</v>
      </c>
      <c r="E68" s="167">
        <f>F68+G68+H68</f>
        <v>8486100</v>
      </c>
      <c r="F68" s="167">
        <f>F70</f>
        <v>2962400</v>
      </c>
      <c r="G68" s="167">
        <f>G70</f>
        <v>2914100</v>
      </c>
      <c r="H68" s="167">
        <f>H70</f>
        <v>2609600</v>
      </c>
      <c r="I68" s="223"/>
    </row>
    <row r="69" spans="2:9" ht="21" customHeight="1">
      <c r="B69" s="327"/>
      <c r="C69" s="306"/>
      <c r="D69" s="158" t="s">
        <v>66</v>
      </c>
      <c r="E69" s="159"/>
      <c r="F69" s="165"/>
      <c r="G69" s="165"/>
      <c r="H69" s="164"/>
      <c r="I69" s="223"/>
    </row>
    <row r="70" spans="2:9" ht="21" customHeight="1">
      <c r="B70" s="327"/>
      <c r="C70" s="306"/>
      <c r="D70" s="158" t="s">
        <v>67</v>
      </c>
      <c r="E70" s="167">
        <f>F70+G70+H70</f>
        <v>8486100</v>
      </c>
      <c r="F70" s="165">
        <v>2962400</v>
      </c>
      <c r="G70" s="165">
        <v>2914100</v>
      </c>
      <c r="H70" s="167">
        <v>2609600</v>
      </c>
      <c r="I70" s="223"/>
    </row>
    <row r="71" spans="2:9" ht="21" customHeight="1">
      <c r="B71" s="327" t="s">
        <v>279</v>
      </c>
      <c r="C71" s="306" t="s">
        <v>62</v>
      </c>
      <c r="D71" s="159" t="s">
        <v>63</v>
      </c>
      <c r="E71" s="167">
        <f>F71+G71+H71</f>
        <v>5052427.57</v>
      </c>
      <c r="F71" s="167">
        <f>F73</f>
        <v>1633227.57</v>
      </c>
      <c r="G71" s="167">
        <f>G73</f>
        <v>1849500</v>
      </c>
      <c r="H71" s="241">
        <f>H73</f>
        <v>1569700</v>
      </c>
      <c r="I71" s="223"/>
    </row>
    <row r="72" spans="2:9" ht="21" customHeight="1">
      <c r="B72" s="327"/>
      <c r="C72" s="306"/>
      <c r="D72" s="158" t="s">
        <v>66</v>
      </c>
      <c r="E72" s="159"/>
      <c r="F72" s="165"/>
      <c r="G72" s="165"/>
      <c r="H72" s="164"/>
      <c r="I72" s="223"/>
    </row>
    <row r="73" spans="2:9" ht="21" customHeight="1" thickBot="1">
      <c r="B73" s="328"/>
      <c r="C73" s="307"/>
      <c r="D73" s="239" t="s">
        <v>67</v>
      </c>
      <c r="E73" s="189">
        <f>F73+G73+H73</f>
        <v>5052427.57</v>
      </c>
      <c r="F73" s="169">
        <v>1633227.57</v>
      </c>
      <c r="G73" s="169">
        <v>1849500</v>
      </c>
      <c r="H73" s="171">
        <v>1569700</v>
      </c>
      <c r="I73" s="236"/>
    </row>
    <row r="74" spans="2:9" ht="21" customHeight="1">
      <c r="B74" s="339" t="s">
        <v>199</v>
      </c>
      <c r="C74" s="323"/>
      <c r="D74" s="180" t="s">
        <v>63</v>
      </c>
      <c r="E74" s="193">
        <f>F74+G74+H74</f>
        <v>248303583.39</v>
      </c>
      <c r="F74" s="193">
        <f>F76+F77+F78</f>
        <v>75070995.28</v>
      </c>
      <c r="G74" s="193">
        <f>G76+G77+G78</f>
        <v>85740088.11</v>
      </c>
      <c r="H74" s="193">
        <f>H76+H77+H78</f>
        <v>87492500</v>
      </c>
      <c r="I74" s="235"/>
    </row>
    <row r="75" spans="2:9" ht="21" customHeight="1">
      <c r="B75" s="327"/>
      <c r="C75" s="306"/>
      <c r="D75" s="158" t="s">
        <v>66</v>
      </c>
      <c r="E75" s="159"/>
      <c r="F75" s="164"/>
      <c r="G75" s="164"/>
      <c r="H75" s="164">
        <f>H76+H77</f>
        <v>79892500</v>
      </c>
      <c r="I75" s="223"/>
    </row>
    <row r="76" spans="2:9" ht="21" customHeight="1">
      <c r="B76" s="327"/>
      <c r="C76" s="306"/>
      <c r="D76" s="158" t="s">
        <v>67</v>
      </c>
      <c r="E76" s="167">
        <f>F76+G76+H76</f>
        <v>142190721.91</v>
      </c>
      <c r="F76" s="165">
        <f>F73+F70+F64+F17+F60</f>
        <v>48308831.57</v>
      </c>
      <c r="G76" s="165">
        <f>G73+G70+G64+G17</f>
        <v>48552590.34</v>
      </c>
      <c r="H76" s="165">
        <f>H73+H70+H64+H17</f>
        <v>45329300</v>
      </c>
      <c r="I76" s="223"/>
    </row>
    <row r="77" spans="2:9" ht="21" customHeight="1">
      <c r="B77" s="327"/>
      <c r="C77" s="306"/>
      <c r="D77" s="158" t="s">
        <v>68</v>
      </c>
      <c r="E77" s="167">
        <f>F77+G77+H77</f>
        <v>83882734.37</v>
      </c>
      <c r="F77" s="165">
        <f>F53+F54+F18+F49+F61</f>
        <v>19274183.18</v>
      </c>
      <c r="G77" s="165">
        <f>G53+G54+G18+G49+G19+G67</f>
        <v>30045351.19</v>
      </c>
      <c r="H77" s="165">
        <f>H53+H54+H18+H49</f>
        <v>34563200</v>
      </c>
      <c r="I77" s="223"/>
    </row>
    <row r="78" spans="2:9" ht="21" customHeight="1" thickBot="1">
      <c r="B78" s="225"/>
      <c r="C78" s="166"/>
      <c r="D78" s="166" t="s">
        <v>69</v>
      </c>
      <c r="E78" s="195">
        <f>F78+G78+H78</f>
        <v>22230127.11</v>
      </c>
      <c r="F78" s="186">
        <f>F58</f>
        <v>7487980.53</v>
      </c>
      <c r="G78" s="186">
        <f>G58</f>
        <v>7142146.58</v>
      </c>
      <c r="H78" s="186">
        <f>H58</f>
        <v>7600000</v>
      </c>
      <c r="I78" s="224"/>
    </row>
    <row r="79" spans="2:9" ht="19.5" customHeight="1" thickBot="1">
      <c r="B79" s="315" t="s">
        <v>79</v>
      </c>
      <c r="C79" s="316"/>
      <c r="D79" s="316"/>
      <c r="E79" s="316"/>
      <c r="F79" s="316"/>
      <c r="G79" s="316"/>
      <c r="H79" s="316"/>
      <c r="I79" s="376"/>
    </row>
    <row r="80" spans="2:9" ht="21" customHeight="1" hidden="1" thickBot="1">
      <c r="B80" s="143"/>
      <c r="C80" s="145"/>
      <c r="D80" s="147"/>
      <c r="E80" s="147"/>
      <c r="F80" s="143"/>
      <c r="G80" s="144"/>
      <c r="H80" s="341"/>
      <c r="I80" s="342"/>
    </row>
    <row r="81" spans="2:9" ht="21" customHeight="1" hidden="1" thickBot="1">
      <c r="B81" s="146"/>
      <c r="C81" s="141"/>
      <c r="D81" s="150"/>
      <c r="E81" s="150"/>
      <c r="F81" s="146"/>
      <c r="G81" s="154"/>
      <c r="H81" s="359"/>
      <c r="I81" s="360"/>
    </row>
    <row r="82" spans="2:9" ht="21" customHeight="1" hidden="1" thickBot="1">
      <c r="B82" s="146"/>
      <c r="C82" s="141"/>
      <c r="D82" s="150"/>
      <c r="E82" s="150"/>
      <c r="F82" s="146"/>
      <c r="G82" s="154"/>
      <c r="H82" s="359"/>
      <c r="I82" s="360"/>
    </row>
    <row r="83" spans="2:9" ht="21" customHeight="1">
      <c r="B83" s="339" t="s">
        <v>255</v>
      </c>
      <c r="C83" s="361" t="s">
        <v>62</v>
      </c>
      <c r="D83" s="180" t="s">
        <v>63</v>
      </c>
      <c r="E83" s="193">
        <f aca="true" t="shared" si="0" ref="E83:E90">F83+G83+H83</f>
        <v>1845000</v>
      </c>
      <c r="F83" s="193">
        <f>F85+F86</f>
        <v>1845000</v>
      </c>
      <c r="G83" s="193">
        <f>G84+G86+G85</f>
        <v>0</v>
      </c>
      <c r="H83" s="193">
        <f>H84+H86+H85</f>
        <v>0</v>
      </c>
      <c r="I83" s="380" t="s">
        <v>256</v>
      </c>
    </row>
    <row r="84" spans="2:9" ht="12.75" customHeight="1" thickBot="1">
      <c r="B84" s="327"/>
      <c r="C84" s="325"/>
      <c r="D84" s="158" t="s">
        <v>66</v>
      </c>
      <c r="E84" s="167">
        <f t="shared" si="0"/>
        <v>0</v>
      </c>
      <c r="F84" s="164"/>
      <c r="G84" s="164"/>
      <c r="H84" s="164"/>
      <c r="I84" s="381"/>
    </row>
    <row r="85" spans="2:9" ht="13.5" thickBot="1">
      <c r="B85" s="327"/>
      <c r="C85" s="170"/>
      <c r="D85" s="158" t="s">
        <v>67</v>
      </c>
      <c r="E85" s="193">
        <f t="shared" si="0"/>
        <v>1745000</v>
      </c>
      <c r="F85" s="165">
        <v>1745000</v>
      </c>
      <c r="G85" s="164"/>
      <c r="H85" s="164">
        <v>0</v>
      </c>
      <c r="I85" s="381"/>
    </row>
    <row r="86" spans="2:9" ht="12.75" customHeight="1">
      <c r="B86" s="185"/>
      <c r="C86" s="170"/>
      <c r="D86" s="158" t="s">
        <v>68</v>
      </c>
      <c r="E86" s="193">
        <f t="shared" si="0"/>
        <v>100000</v>
      </c>
      <c r="F86" s="165">
        <v>100000</v>
      </c>
      <c r="G86" s="165"/>
      <c r="H86" s="164">
        <v>0</v>
      </c>
      <c r="I86" s="381"/>
    </row>
    <row r="87" spans="2:9" ht="15.75" customHeight="1" hidden="1">
      <c r="B87" s="185"/>
      <c r="C87" s="170"/>
      <c r="D87" s="158" t="s">
        <v>69</v>
      </c>
      <c r="E87" s="167">
        <f t="shared" si="0"/>
        <v>0</v>
      </c>
      <c r="F87" s="158"/>
      <c r="G87" s="165"/>
      <c r="H87" s="164"/>
      <c r="I87" s="381"/>
    </row>
    <row r="88" spans="2:9" ht="15.75" customHeight="1" hidden="1">
      <c r="B88" s="327" t="s">
        <v>80</v>
      </c>
      <c r="C88" s="306"/>
      <c r="D88" s="306" t="s">
        <v>81</v>
      </c>
      <c r="E88" s="167">
        <f t="shared" si="0"/>
        <v>0</v>
      </c>
      <c r="F88" s="165"/>
      <c r="G88" s="165"/>
      <c r="H88" s="164"/>
      <c r="I88" s="310" t="s">
        <v>169</v>
      </c>
    </row>
    <row r="89" spans="2:9" ht="15.75" customHeight="1" hidden="1">
      <c r="B89" s="327"/>
      <c r="C89" s="306"/>
      <c r="D89" s="306"/>
      <c r="E89" s="167">
        <f t="shared" si="0"/>
        <v>0</v>
      </c>
      <c r="F89" s="167"/>
      <c r="G89" s="167"/>
      <c r="H89" s="241"/>
      <c r="I89" s="310"/>
    </row>
    <row r="90" spans="2:9" ht="15.75" customHeight="1" hidden="1">
      <c r="B90" s="327" t="s">
        <v>82</v>
      </c>
      <c r="C90" s="158"/>
      <c r="D90" s="159" t="s">
        <v>63</v>
      </c>
      <c r="E90" s="167">
        <f t="shared" si="0"/>
        <v>0</v>
      </c>
      <c r="F90" s="167">
        <f>F92+F93+F94</f>
        <v>0</v>
      </c>
      <c r="G90" s="167">
        <f>G92+G93+G94</f>
        <v>0</v>
      </c>
      <c r="H90" s="167">
        <f>H92+H93+H94</f>
        <v>0</v>
      </c>
      <c r="I90" s="250"/>
    </row>
    <row r="91" spans="2:9" ht="15.75" customHeight="1" hidden="1">
      <c r="B91" s="327"/>
      <c r="C91" s="249" t="s">
        <v>62</v>
      </c>
      <c r="D91" s="158" t="s">
        <v>66</v>
      </c>
      <c r="E91" s="158"/>
      <c r="F91" s="164"/>
      <c r="G91" s="164"/>
      <c r="H91" s="164"/>
      <c r="I91" s="251" t="s">
        <v>172</v>
      </c>
    </row>
    <row r="92" spans="2:9" ht="15.75" customHeight="1" hidden="1">
      <c r="B92" s="183" t="s">
        <v>83</v>
      </c>
      <c r="C92" s="170"/>
      <c r="D92" s="158" t="s">
        <v>67</v>
      </c>
      <c r="E92" s="167">
        <f>F92+G92+H92</f>
        <v>0</v>
      </c>
      <c r="F92" s="164"/>
      <c r="G92" s="164"/>
      <c r="H92" s="164"/>
      <c r="I92" s="252" t="s">
        <v>173</v>
      </c>
    </row>
    <row r="93" spans="2:9" ht="15.75" customHeight="1" hidden="1">
      <c r="B93" s="185"/>
      <c r="C93" s="170"/>
      <c r="D93" s="158" t="s">
        <v>68</v>
      </c>
      <c r="E93" s="167">
        <f>F93+G93+H93</f>
        <v>0</v>
      </c>
      <c r="F93" s="165">
        <v>0</v>
      </c>
      <c r="G93" s="165"/>
      <c r="H93" s="164"/>
      <c r="I93" s="250"/>
    </row>
    <row r="94" spans="2:9" ht="15.75" customHeight="1" hidden="1">
      <c r="B94" s="185"/>
      <c r="C94" s="170"/>
      <c r="D94" s="158" t="s">
        <v>69</v>
      </c>
      <c r="E94" s="158"/>
      <c r="F94" s="165"/>
      <c r="G94" s="165"/>
      <c r="H94" s="164"/>
      <c r="I94" s="250"/>
    </row>
    <row r="95" spans="2:9" ht="15.75" customHeight="1" hidden="1">
      <c r="B95" s="183"/>
      <c r="C95" s="158"/>
      <c r="D95" s="159" t="s">
        <v>63</v>
      </c>
      <c r="E95" s="159"/>
      <c r="F95" s="165">
        <v>0</v>
      </c>
      <c r="G95" s="165"/>
      <c r="H95" s="164"/>
      <c r="I95" s="223"/>
    </row>
    <row r="96" spans="2:9" ht="15.75" customHeight="1" hidden="1">
      <c r="B96" s="183" t="s">
        <v>84</v>
      </c>
      <c r="C96" s="249" t="s">
        <v>62</v>
      </c>
      <c r="D96" s="158" t="s">
        <v>66</v>
      </c>
      <c r="E96" s="158"/>
      <c r="F96" s="168"/>
      <c r="G96" s="164"/>
      <c r="H96" s="164"/>
      <c r="I96" s="223"/>
    </row>
    <row r="97" spans="2:9" ht="15.75" customHeight="1" hidden="1">
      <c r="B97" s="185"/>
      <c r="C97" s="170"/>
      <c r="D97" s="158" t="s">
        <v>67</v>
      </c>
      <c r="E97" s="158"/>
      <c r="F97" s="168"/>
      <c r="G97" s="164"/>
      <c r="H97" s="164"/>
      <c r="I97" s="251" t="s">
        <v>170</v>
      </c>
    </row>
    <row r="98" spans="2:9" ht="15.75" customHeight="1" hidden="1">
      <c r="B98" s="185"/>
      <c r="C98" s="170"/>
      <c r="D98" s="158" t="s">
        <v>68</v>
      </c>
      <c r="E98" s="158"/>
      <c r="F98" s="165">
        <v>0</v>
      </c>
      <c r="G98" s="165"/>
      <c r="H98" s="164"/>
      <c r="I98" s="252" t="s">
        <v>171</v>
      </c>
    </row>
    <row r="99" spans="2:9" ht="15.75" customHeight="1" hidden="1">
      <c r="B99" s="185"/>
      <c r="C99" s="170"/>
      <c r="D99" s="158" t="s">
        <v>69</v>
      </c>
      <c r="E99" s="158"/>
      <c r="F99" s="165"/>
      <c r="G99" s="165"/>
      <c r="H99" s="164"/>
      <c r="I99" s="223"/>
    </row>
    <row r="100" spans="2:9" ht="15.75" customHeight="1">
      <c r="B100" s="327" t="s">
        <v>243</v>
      </c>
      <c r="C100" s="325" t="s">
        <v>62</v>
      </c>
      <c r="D100" s="159" t="s">
        <v>63</v>
      </c>
      <c r="E100" s="167">
        <f>F100+G100+H100</f>
        <v>11465227.91</v>
      </c>
      <c r="F100" s="167">
        <f>F105+F103+F102</f>
        <v>385000</v>
      </c>
      <c r="G100" s="167">
        <f>G101+G103+G104+G105</f>
        <v>8580227.91</v>
      </c>
      <c r="H100" s="167">
        <f>H101+H103</f>
        <v>2500000</v>
      </c>
      <c r="I100" s="253"/>
    </row>
    <row r="101" spans="2:9" ht="18" customHeight="1">
      <c r="B101" s="327"/>
      <c r="C101" s="325"/>
      <c r="D101" s="158" t="s">
        <v>66</v>
      </c>
      <c r="E101" s="158"/>
      <c r="F101" s="164"/>
      <c r="G101" s="164"/>
      <c r="H101" s="164"/>
      <c r="I101" s="254"/>
    </row>
    <row r="102" spans="2:9" ht="13.5" customHeight="1">
      <c r="B102" s="327"/>
      <c r="C102" s="325"/>
      <c r="D102" s="158" t="s">
        <v>67</v>
      </c>
      <c r="E102" s="167">
        <f>F102+G102+H102</f>
        <v>0</v>
      </c>
      <c r="F102" s="164"/>
      <c r="G102" s="164"/>
      <c r="H102" s="164"/>
      <c r="I102" s="253"/>
    </row>
    <row r="103" spans="2:9" ht="40.5" customHeight="1">
      <c r="B103" s="327"/>
      <c r="C103" s="170"/>
      <c r="D103" s="158" t="s">
        <v>68</v>
      </c>
      <c r="E103" s="167">
        <f>F103+G103+H103</f>
        <v>10655227.91</v>
      </c>
      <c r="F103" s="165">
        <v>385000</v>
      </c>
      <c r="G103" s="165">
        <f>530000+7240227.91</f>
        <v>7770227.91</v>
      </c>
      <c r="H103" s="164">
        <v>2500000</v>
      </c>
      <c r="I103" s="253" t="s">
        <v>269</v>
      </c>
    </row>
    <row r="104" spans="2:9" ht="25.5" customHeight="1">
      <c r="B104" s="183"/>
      <c r="C104" s="170"/>
      <c r="D104" s="158" t="s">
        <v>68</v>
      </c>
      <c r="E104" s="167">
        <f>G104</f>
        <v>450000</v>
      </c>
      <c r="F104" s="165"/>
      <c r="G104" s="165">
        <v>450000</v>
      </c>
      <c r="H104" s="164"/>
      <c r="I104" s="382" t="s">
        <v>268</v>
      </c>
    </row>
    <row r="105" spans="2:9" ht="14.25" customHeight="1">
      <c r="B105" s="185"/>
      <c r="C105" s="170"/>
      <c r="D105" s="158" t="s">
        <v>67</v>
      </c>
      <c r="E105" s="167">
        <f>F105+G105+H105</f>
        <v>360000</v>
      </c>
      <c r="F105" s="165"/>
      <c r="G105" s="165">
        <v>360000</v>
      </c>
      <c r="H105" s="164"/>
      <c r="I105" s="383"/>
    </row>
    <row r="106" spans="2:9" ht="14.25" customHeight="1">
      <c r="B106" s="183" t="s">
        <v>284</v>
      </c>
      <c r="C106" s="158"/>
      <c r="D106" s="159" t="s">
        <v>63</v>
      </c>
      <c r="E106" s="167">
        <f>F106+G106+H106</f>
        <v>65000</v>
      </c>
      <c r="F106" s="165" t="s">
        <v>85</v>
      </c>
      <c r="G106" s="167">
        <f>G107</f>
        <v>65000</v>
      </c>
      <c r="H106" s="167">
        <f>H107+H108</f>
        <v>0</v>
      </c>
      <c r="I106" s="243"/>
    </row>
    <row r="107" spans="2:9" ht="14.25" customHeight="1">
      <c r="B107" s="183" t="s">
        <v>285</v>
      </c>
      <c r="C107" s="158"/>
      <c r="D107" s="158" t="s">
        <v>68</v>
      </c>
      <c r="E107" s="167">
        <f>F107+G107+H107</f>
        <v>65000</v>
      </c>
      <c r="F107" s="165"/>
      <c r="G107" s="165">
        <v>65000</v>
      </c>
      <c r="H107" s="164"/>
      <c r="I107" s="243"/>
    </row>
    <row r="108" spans="2:9" ht="14.25" customHeight="1">
      <c r="B108" s="183"/>
      <c r="C108" s="170"/>
      <c r="D108" s="158" t="s">
        <v>67</v>
      </c>
      <c r="E108" s="168"/>
      <c r="F108" s="164"/>
      <c r="G108" s="164"/>
      <c r="H108" s="164"/>
      <c r="I108" s="243"/>
    </row>
    <row r="109" spans="2:9" ht="28.5" customHeight="1">
      <c r="B109" s="327" t="s">
        <v>247</v>
      </c>
      <c r="C109" s="249" t="s">
        <v>62</v>
      </c>
      <c r="D109" s="159" t="s">
        <v>63</v>
      </c>
      <c r="E109" s="167">
        <f>F109+G109+H109</f>
        <v>3257953.17</v>
      </c>
      <c r="F109" s="164">
        <f>F110+F112+F111</f>
        <v>998797.1699999999</v>
      </c>
      <c r="G109" s="164">
        <f>G110+G112+G111</f>
        <v>1096856</v>
      </c>
      <c r="H109" s="164">
        <f>H110+H112+H111</f>
        <v>1162300</v>
      </c>
      <c r="I109" s="243" t="s">
        <v>174</v>
      </c>
    </row>
    <row r="110" spans="2:9" ht="15" customHeight="1">
      <c r="B110" s="327"/>
      <c r="C110" s="168"/>
      <c r="D110" s="158" t="s">
        <v>86</v>
      </c>
      <c r="E110" s="167">
        <f>F110+G110+H110</f>
        <v>1077037.5</v>
      </c>
      <c r="F110" s="164">
        <v>354381.5</v>
      </c>
      <c r="G110" s="164">
        <v>322656</v>
      </c>
      <c r="H110" s="164">
        <v>400000</v>
      </c>
      <c r="I110" s="243" t="s">
        <v>175</v>
      </c>
    </row>
    <row r="111" spans="2:9" ht="15" customHeight="1">
      <c r="B111" s="327"/>
      <c r="C111" s="168"/>
      <c r="D111" s="158" t="s">
        <v>68</v>
      </c>
      <c r="E111" s="167">
        <f>F111+G111+H111</f>
        <v>1677415.67</v>
      </c>
      <c r="F111" s="164">
        <v>477415.67</v>
      </c>
      <c r="G111" s="164">
        <v>600000</v>
      </c>
      <c r="H111" s="164">
        <v>600000</v>
      </c>
      <c r="I111" s="243"/>
    </row>
    <row r="112" spans="2:9" ht="17.25" customHeight="1">
      <c r="B112" s="327"/>
      <c r="C112" s="168"/>
      <c r="D112" s="158" t="s">
        <v>67</v>
      </c>
      <c r="E112" s="167">
        <f>F112+G112+H112</f>
        <v>503500</v>
      </c>
      <c r="F112" s="164">
        <v>167000</v>
      </c>
      <c r="G112" s="164">
        <v>174200</v>
      </c>
      <c r="H112" s="164">
        <v>162300</v>
      </c>
      <c r="I112" s="243"/>
    </row>
    <row r="113" spans="2:9" ht="18.75" customHeight="1">
      <c r="B113" s="327" t="s">
        <v>248</v>
      </c>
      <c r="C113" s="325" t="s">
        <v>62</v>
      </c>
      <c r="D113" s="159" t="s">
        <v>63</v>
      </c>
      <c r="E113" s="167">
        <f>F113+G113+H113</f>
        <v>414428555.65999997</v>
      </c>
      <c r="F113" s="167">
        <f>F115+F116</f>
        <v>138910146</v>
      </c>
      <c r="G113" s="167">
        <f>G115</f>
        <v>143073709.66</v>
      </c>
      <c r="H113" s="241">
        <f>H115</f>
        <v>132444700</v>
      </c>
      <c r="I113" s="255"/>
    </row>
    <row r="114" spans="2:9" ht="20.25" customHeight="1">
      <c r="B114" s="327"/>
      <c r="C114" s="325"/>
      <c r="D114" s="158" t="s">
        <v>66</v>
      </c>
      <c r="E114" s="158"/>
      <c r="F114" s="165"/>
      <c r="G114" s="165"/>
      <c r="H114" s="164"/>
      <c r="I114" s="255"/>
    </row>
    <row r="115" spans="2:9" ht="12.75" customHeight="1">
      <c r="B115" s="183" t="s">
        <v>196</v>
      </c>
      <c r="C115" s="168"/>
      <c r="D115" s="158" t="s">
        <v>67</v>
      </c>
      <c r="E115" s="167">
        <f>F115+G115+H115</f>
        <v>411729255.65999997</v>
      </c>
      <c r="F115" s="164">
        <v>136210846</v>
      </c>
      <c r="G115" s="164">
        <v>143073709.66</v>
      </c>
      <c r="H115" s="164">
        <v>132444700</v>
      </c>
      <c r="I115" s="250"/>
    </row>
    <row r="116" spans="2:9" ht="12.75" customHeight="1">
      <c r="B116" s="246" t="s">
        <v>200</v>
      </c>
      <c r="C116" s="168"/>
      <c r="D116" s="158" t="s">
        <v>67</v>
      </c>
      <c r="E116" s="167">
        <f>F116+G116+H116</f>
        <v>8862504.469999999</v>
      </c>
      <c r="F116" s="164">
        <v>2699300</v>
      </c>
      <c r="G116" s="164">
        <f>4825270.29+3190.25+1334743.93</f>
        <v>6163204.47</v>
      </c>
      <c r="H116" s="164"/>
      <c r="I116" s="250"/>
    </row>
    <row r="117" spans="2:9" ht="22.5" customHeight="1">
      <c r="B117" s="328" t="s">
        <v>249</v>
      </c>
      <c r="C117" s="325" t="s">
        <v>62</v>
      </c>
      <c r="D117" s="159" t="s">
        <v>63</v>
      </c>
      <c r="E117" s="167">
        <f aca="true" t="shared" si="1" ref="E117:E125">F117+G117+H117</f>
        <v>266670012.96</v>
      </c>
      <c r="F117" s="167">
        <f>F118+F121+F122</f>
        <v>76802310.8</v>
      </c>
      <c r="G117" s="167">
        <f>G118+G121+G122</f>
        <v>90134202.16000001</v>
      </c>
      <c r="H117" s="167">
        <f>H118+H121+H122</f>
        <v>99733500</v>
      </c>
      <c r="I117" s="310" t="s">
        <v>241</v>
      </c>
    </row>
    <row r="118" spans="2:9" ht="30.75" customHeight="1">
      <c r="B118" s="329"/>
      <c r="C118" s="325"/>
      <c r="D118" s="158" t="s">
        <v>68</v>
      </c>
      <c r="E118" s="167">
        <f t="shared" si="1"/>
        <v>241623112.63</v>
      </c>
      <c r="F118" s="165">
        <v>68592849.25</v>
      </c>
      <c r="G118" s="165">
        <f>3280064.59+78016698.79</f>
        <v>81296763.38000001</v>
      </c>
      <c r="H118" s="164">
        <f>13947500+77786000</f>
        <v>91733500</v>
      </c>
      <c r="I118" s="310"/>
    </row>
    <row r="119" spans="2:9" ht="14.25" customHeight="1">
      <c r="B119" s="176" t="s">
        <v>244</v>
      </c>
      <c r="C119" s="242"/>
      <c r="D119" s="158" t="s">
        <v>196</v>
      </c>
      <c r="E119" s="167">
        <f t="shared" si="1"/>
        <v>1008444.8400000001</v>
      </c>
      <c r="F119" s="165">
        <v>398900</v>
      </c>
      <c r="G119" s="165">
        <v>309544.84</v>
      </c>
      <c r="H119" s="164">
        <v>300000</v>
      </c>
      <c r="I119" s="243"/>
    </row>
    <row r="120" spans="2:9" ht="14.25" customHeight="1" hidden="1">
      <c r="B120" s="277"/>
      <c r="C120" s="242"/>
      <c r="D120" s="158"/>
      <c r="E120" s="167">
        <f t="shared" si="1"/>
        <v>2194000</v>
      </c>
      <c r="F120" s="165"/>
      <c r="G120" s="165">
        <v>1097000</v>
      </c>
      <c r="H120" s="164">
        <v>1097000</v>
      </c>
      <c r="I120" s="243"/>
    </row>
    <row r="121" spans="2:9" ht="14.25" customHeight="1">
      <c r="B121" s="275"/>
      <c r="C121" s="158"/>
      <c r="D121" s="158" t="s">
        <v>86</v>
      </c>
      <c r="E121" s="167">
        <f t="shared" si="1"/>
        <v>25046900.33</v>
      </c>
      <c r="F121" s="165">
        <v>8209461.55</v>
      </c>
      <c r="G121" s="165">
        <v>8837438.78</v>
      </c>
      <c r="H121" s="164">
        <v>8000000</v>
      </c>
      <c r="I121" s="250"/>
    </row>
    <row r="122" spans="2:9" ht="15.75" customHeight="1">
      <c r="B122" s="276"/>
      <c r="C122" s="170"/>
      <c r="D122" s="158" t="s">
        <v>68</v>
      </c>
      <c r="E122" s="167">
        <f t="shared" si="1"/>
        <v>0</v>
      </c>
      <c r="F122" s="165"/>
      <c r="G122" s="165"/>
      <c r="H122" s="164"/>
      <c r="I122" s="250"/>
    </row>
    <row r="123" spans="2:9" ht="15.75" customHeight="1">
      <c r="B123" s="327" t="s">
        <v>260</v>
      </c>
      <c r="C123" s="325" t="s">
        <v>62</v>
      </c>
      <c r="D123" s="159" t="s">
        <v>63</v>
      </c>
      <c r="E123" s="167">
        <f t="shared" si="1"/>
        <v>10185818</v>
      </c>
      <c r="F123" s="167">
        <f>F126+F125</f>
        <v>10185818</v>
      </c>
      <c r="G123" s="167">
        <f>G126</f>
        <v>0</v>
      </c>
      <c r="H123" s="167">
        <f>H126</f>
        <v>0</v>
      </c>
      <c r="I123" s="250"/>
    </row>
    <row r="124" spans="2:9" ht="19.5" customHeight="1">
      <c r="B124" s="327"/>
      <c r="C124" s="325"/>
      <c r="D124" s="158" t="s">
        <v>66</v>
      </c>
      <c r="E124" s="167"/>
      <c r="F124" s="167"/>
      <c r="G124" s="167"/>
      <c r="H124" s="167"/>
      <c r="I124" s="250"/>
    </row>
    <row r="125" spans="2:9" ht="15.75" customHeight="1">
      <c r="B125" s="327"/>
      <c r="C125" s="325"/>
      <c r="D125" s="158" t="s">
        <v>68</v>
      </c>
      <c r="E125" s="167">
        <f t="shared" si="1"/>
        <v>0</v>
      </c>
      <c r="F125" s="165"/>
      <c r="G125" s="165"/>
      <c r="H125" s="164"/>
      <c r="I125" s="250"/>
    </row>
    <row r="126" spans="2:9" ht="17.25" customHeight="1">
      <c r="B126" s="327"/>
      <c r="C126" s="325"/>
      <c r="D126" s="158" t="s">
        <v>67</v>
      </c>
      <c r="E126" s="167">
        <f>F126+G126+H126</f>
        <v>10185818</v>
      </c>
      <c r="F126" s="165">
        <v>10185818</v>
      </c>
      <c r="G126" s="165"/>
      <c r="H126" s="165"/>
      <c r="I126" s="250"/>
    </row>
    <row r="127" spans="2:9" ht="12.75" customHeight="1">
      <c r="B127" s="327" t="s">
        <v>250</v>
      </c>
      <c r="C127" s="325" t="s">
        <v>62</v>
      </c>
      <c r="D127" s="159" t="s">
        <v>63</v>
      </c>
      <c r="E127" s="167">
        <f>F127+G127+H127</f>
        <v>116168.56</v>
      </c>
      <c r="F127" s="167">
        <f>F129</f>
        <v>36127.26</v>
      </c>
      <c r="G127" s="167">
        <f>G129</f>
        <v>38850.3</v>
      </c>
      <c r="H127" s="167">
        <f>H129</f>
        <v>41191</v>
      </c>
      <c r="I127" s="310"/>
    </row>
    <row r="128" spans="2:9" ht="12.75" customHeight="1">
      <c r="B128" s="327"/>
      <c r="C128" s="325"/>
      <c r="D128" s="158" t="s">
        <v>66</v>
      </c>
      <c r="E128" s="158"/>
      <c r="F128" s="158"/>
      <c r="G128" s="165"/>
      <c r="H128" s="164"/>
      <c r="I128" s="310"/>
    </row>
    <row r="129" spans="2:9" ht="13.5" customHeight="1">
      <c r="B129" s="327"/>
      <c r="C129" s="325"/>
      <c r="D129" s="158" t="s">
        <v>68</v>
      </c>
      <c r="E129" s="167">
        <f>F129+G129+H129</f>
        <v>116168.56</v>
      </c>
      <c r="F129" s="165">
        <v>36127.26</v>
      </c>
      <c r="G129" s="165">
        <v>38850.3</v>
      </c>
      <c r="H129" s="165">
        <v>41191</v>
      </c>
      <c r="I129" s="310"/>
    </row>
    <row r="130" spans="2:9" ht="14.25" customHeight="1">
      <c r="B130" s="327" t="s">
        <v>251</v>
      </c>
      <c r="C130" s="158"/>
      <c r="D130" s="159" t="s">
        <v>63</v>
      </c>
      <c r="E130" s="167">
        <f>F130+G130+H130</f>
        <v>25271150.65</v>
      </c>
      <c r="F130" s="167">
        <f>F132</f>
        <v>7945313.37</v>
      </c>
      <c r="G130" s="167">
        <f>G132</f>
        <v>9004837.28</v>
      </c>
      <c r="H130" s="167">
        <f>H132</f>
        <v>8321000</v>
      </c>
      <c r="I130" s="310"/>
    </row>
    <row r="131" spans="2:9" ht="16.5" customHeight="1">
      <c r="B131" s="327"/>
      <c r="C131" s="158"/>
      <c r="D131" s="158" t="s">
        <v>66</v>
      </c>
      <c r="E131" s="158"/>
      <c r="F131" s="165"/>
      <c r="G131" s="165"/>
      <c r="H131" s="164"/>
      <c r="I131" s="310"/>
    </row>
    <row r="132" spans="2:9" ht="19.5" customHeight="1">
      <c r="B132" s="327"/>
      <c r="C132" s="170"/>
      <c r="D132" s="158" t="s">
        <v>67</v>
      </c>
      <c r="E132" s="167">
        <f>F132+G132+H132</f>
        <v>25271150.65</v>
      </c>
      <c r="F132" s="165">
        <v>7945313.37</v>
      </c>
      <c r="G132" s="165">
        <v>9004837.28</v>
      </c>
      <c r="H132" s="164">
        <v>8321000</v>
      </c>
      <c r="I132" s="310"/>
    </row>
    <row r="133" spans="2:9" ht="16.5" customHeight="1">
      <c r="B133" s="326" t="s">
        <v>262</v>
      </c>
      <c r="C133" s="325" t="s">
        <v>62</v>
      </c>
      <c r="D133" s="159" t="s">
        <v>63</v>
      </c>
      <c r="E133" s="167">
        <f>F133+G133+H133</f>
        <v>6509687.38</v>
      </c>
      <c r="F133" s="167">
        <f>F135+F136+F137</f>
        <v>2130581.02</v>
      </c>
      <c r="G133" s="167">
        <f>G135+G136+G137</f>
        <v>1979106.36</v>
      </c>
      <c r="H133" s="167">
        <f>H135+H136+H137</f>
        <v>2400000</v>
      </c>
      <c r="I133" s="350"/>
    </row>
    <row r="134" spans="2:9" ht="15.75" customHeight="1">
      <c r="B134" s="327"/>
      <c r="C134" s="325"/>
      <c r="D134" s="158" t="s">
        <v>66</v>
      </c>
      <c r="E134" s="158"/>
      <c r="F134" s="165"/>
      <c r="G134" s="165"/>
      <c r="H134" s="164"/>
      <c r="I134" s="350"/>
    </row>
    <row r="135" spans="2:9" ht="16.5" customHeight="1" hidden="1">
      <c r="B135" s="327"/>
      <c r="C135" s="325"/>
      <c r="D135" s="158" t="s">
        <v>167</v>
      </c>
      <c r="E135" s="167">
        <f>F135+G135+H135</f>
        <v>0</v>
      </c>
      <c r="F135" s="165"/>
      <c r="G135" s="165"/>
      <c r="H135" s="164"/>
      <c r="I135" s="350"/>
    </row>
    <row r="136" spans="2:9" ht="16.5" customHeight="1">
      <c r="B136" s="327"/>
      <c r="C136" s="325"/>
      <c r="D136" s="158" t="s">
        <v>67</v>
      </c>
      <c r="E136" s="167">
        <f>F136+G136+H136</f>
        <v>0</v>
      </c>
      <c r="F136" s="165"/>
      <c r="G136" s="164"/>
      <c r="H136" s="164"/>
      <c r="I136" s="350"/>
    </row>
    <row r="137" spans="2:9" ht="32.25" customHeight="1" thickBot="1">
      <c r="B137" s="328"/>
      <c r="C137" s="320"/>
      <c r="D137" s="239" t="s">
        <v>68</v>
      </c>
      <c r="E137" s="239"/>
      <c r="F137" s="171">
        <v>2130581.02</v>
      </c>
      <c r="G137" s="171">
        <v>1979106.36</v>
      </c>
      <c r="H137" s="171">
        <v>2400000</v>
      </c>
      <c r="I137" s="377"/>
    </row>
    <row r="138" spans="2:9" ht="16.5" customHeight="1">
      <c r="B138" s="178"/>
      <c r="C138" s="323"/>
      <c r="D138" s="311" t="s">
        <v>89</v>
      </c>
      <c r="E138" s="313">
        <f>F138+G138+H138</f>
        <v>739814574.29</v>
      </c>
      <c r="F138" s="313">
        <f>F140+F144+F146+F150</f>
        <v>239239093.62</v>
      </c>
      <c r="G138" s="313">
        <f>G140+G144+G146+G150</f>
        <v>253972789.67000002</v>
      </c>
      <c r="H138" s="313">
        <f>H140+H144+H146+H150</f>
        <v>246602691</v>
      </c>
      <c r="I138" s="259"/>
    </row>
    <row r="139" spans="2:9" ht="13.5" customHeight="1">
      <c r="B139" s="362" t="s">
        <v>242</v>
      </c>
      <c r="C139" s="306"/>
      <c r="D139" s="312"/>
      <c r="E139" s="312"/>
      <c r="F139" s="312"/>
      <c r="G139" s="314"/>
      <c r="H139" s="314"/>
      <c r="I139" s="256"/>
    </row>
    <row r="140" spans="2:9" ht="12.75" customHeight="1">
      <c r="B140" s="363"/>
      <c r="C140" s="306"/>
      <c r="D140" s="159" t="s">
        <v>90</v>
      </c>
      <c r="E140" s="159"/>
      <c r="F140" s="318">
        <f>F137+F129+F122+F107+F103+F98+F93+F88+F86+F118+F125+F111</f>
        <v>71721973.2</v>
      </c>
      <c r="G140" s="318">
        <f>G137+G129+G122+G107+G103+G98+G93+G88+G86+G118+G111+G104</f>
        <v>92199947.95000002</v>
      </c>
      <c r="H140" s="318">
        <f>H137+H129+H122+H107+H103+H98+H93+H88+H86+H118+H111</f>
        <v>97274691</v>
      </c>
      <c r="I140" s="257"/>
    </row>
    <row r="141" spans="2:9" ht="12.75" customHeight="1" hidden="1">
      <c r="B141" s="363"/>
      <c r="C141" s="306"/>
      <c r="D141" s="159"/>
      <c r="E141" s="314">
        <f>F140+G140+H140</f>
        <v>261196612.15000004</v>
      </c>
      <c r="F141" s="319"/>
      <c r="G141" s="318"/>
      <c r="H141" s="318"/>
      <c r="I141" s="257"/>
    </row>
    <row r="142" spans="2:9" ht="13.5" customHeight="1">
      <c r="B142" s="363"/>
      <c r="C142" s="306"/>
      <c r="D142" s="159" t="s">
        <v>91</v>
      </c>
      <c r="E142" s="319"/>
      <c r="F142" s="319"/>
      <c r="G142" s="318"/>
      <c r="H142" s="318"/>
      <c r="I142" s="257"/>
    </row>
    <row r="143" spans="2:9" ht="12.75" customHeight="1" hidden="1">
      <c r="B143" s="363"/>
      <c r="C143" s="306"/>
      <c r="D143" s="312" t="s">
        <v>92</v>
      </c>
      <c r="E143" s="172"/>
      <c r="F143" s="158"/>
      <c r="G143" s="165"/>
      <c r="H143" s="164"/>
      <c r="I143" s="257"/>
    </row>
    <row r="144" spans="2:9" ht="12.75" customHeight="1">
      <c r="B144" s="363"/>
      <c r="C144" s="306"/>
      <c r="D144" s="312"/>
      <c r="E144" s="167">
        <f>F144+G144+H144</f>
        <v>452494024.31</v>
      </c>
      <c r="F144" s="165">
        <f>F136+F132+F115+F102+F92+F112+F126+F85+F116</f>
        <v>158953277.37</v>
      </c>
      <c r="G144" s="165">
        <f>G136+G132+G115+G102+G92+G112+G105</f>
        <v>152612746.94</v>
      </c>
      <c r="H144" s="165">
        <f>H136+H132+H115+H102+H92+H112</f>
        <v>140928000</v>
      </c>
      <c r="I144" s="257"/>
    </row>
    <row r="145" spans="2:9" ht="12.75" customHeight="1" hidden="1">
      <c r="B145" s="363"/>
      <c r="C145" s="306"/>
      <c r="D145" s="172"/>
      <c r="E145" s="172"/>
      <c r="F145" s="168"/>
      <c r="G145" s="164"/>
      <c r="H145" s="164"/>
      <c r="I145" s="244"/>
    </row>
    <row r="146" spans="2:9" ht="12.75" customHeight="1">
      <c r="B146" s="363"/>
      <c r="C146" s="306"/>
      <c r="D146" s="172" t="s">
        <v>168</v>
      </c>
      <c r="E146" s="167">
        <f>F146+G146+H146</f>
        <v>0</v>
      </c>
      <c r="F146" s="165">
        <f>F135+F105</f>
        <v>0</v>
      </c>
      <c r="G146" s="165">
        <f>G135</f>
        <v>0</v>
      </c>
      <c r="H146" s="165">
        <f>H135</f>
        <v>0</v>
      </c>
      <c r="I146" s="244"/>
    </row>
    <row r="147" spans="2:9" ht="12" customHeight="1" hidden="1">
      <c r="B147" s="363"/>
      <c r="C147" s="306"/>
      <c r="D147" s="172"/>
      <c r="E147" s="172"/>
      <c r="F147" s="168"/>
      <c r="G147" s="164"/>
      <c r="H147" s="164"/>
      <c r="I147" s="244"/>
    </row>
    <row r="148" spans="2:9" ht="12.75" customHeight="1" hidden="1">
      <c r="B148" s="363"/>
      <c r="C148" s="306"/>
      <c r="D148" s="172"/>
      <c r="E148" s="172"/>
      <c r="F148" s="168"/>
      <c r="G148" s="164"/>
      <c r="H148" s="164"/>
      <c r="I148" s="244"/>
    </row>
    <row r="149" spans="2:9" ht="12.75" customHeight="1" hidden="1">
      <c r="B149" s="363"/>
      <c r="C149" s="306"/>
      <c r="D149" s="172"/>
      <c r="E149" s="172"/>
      <c r="F149" s="168"/>
      <c r="G149" s="164"/>
      <c r="H149" s="164"/>
      <c r="I149" s="244"/>
    </row>
    <row r="150" spans="2:9" ht="15" customHeight="1" thickBot="1">
      <c r="B150" s="364"/>
      <c r="C150" s="324"/>
      <c r="D150" s="238" t="s">
        <v>86</v>
      </c>
      <c r="E150" s="195">
        <f>F150+G150+H150</f>
        <v>26123937.83</v>
      </c>
      <c r="F150" s="186">
        <f>F121+F110</f>
        <v>8563843.05</v>
      </c>
      <c r="G150" s="186">
        <f>G121+G110</f>
        <v>9160094.78</v>
      </c>
      <c r="H150" s="186">
        <f>H121+H110</f>
        <v>8400000</v>
      </c>
      <c r="I150" s="258"/>
    </row>
    <row r="151" spans="2:9" ht="20.25" customHeight="1" thickBot="1">
      <c r="B151" s="315" t="s">
        <v>93</v>
      </c>
      <c r="C151" s="316"/>
      <c r="D151" s="316"/>
      <c r="E151" s="316"/>
      <c r="F151" s="316"/>
      <c r="G151" s="316"/>
      <c r="H151" s="316"/>
      <c r="I151" s="317"/>
    </row>
    <row r="152" spans="2:9" ht="12.75" customHeight="1" hidden="1">
      <c r="B152" s="176"/>
      <c r="C152" s="141"/>
      <c r="D152" s="150"/>
      <c r="E152" s="161"/>
      <c r="F152" s="138"/>
      <c r="G152" s="138"/>
      <c r="H152" s="204"/>
      <c r="I152" s="200"/>
    </row>
    <row r="153" spans="2:9" ht="12.75" customHeight="1" hidden="1">
      <c r="B153" s="176"/>
      <c r="C153" s="141"/>
      <c r="D153" s="150"/>
      <c r="E153" s="161"/>
      <c r="F153" s="138"/>
      <c r="G153" s="138"/>
      <c r="H153" s="204"/>
      <c r="I153" s="200"/>
    </row>
    <row r="154" spans="2:9" ht="19.5" customHeight="1">
      <c r="B154" s="339" t="s">
        <v>202</v>
      </c>
      <c r="C154" s="361" t="s">
        <v>62</v>
      </c>
      <c r="D154" s="180" t="s">
        <v>63</v>
      </c>
      <c r="E154" s="193">
        <f>F154+G154+H154</f>
        <v>94065</v>
      </c>
      <c r="F154" s="193">
        <f>F155+F157</f>
        <v>74065</v>
      </c>
      <c r="G154" s="193">
        <f>G155+G157</f>
        <v>20000</v>
      </c>
      <c r="H154" s="193">
        <f>H155+H157</f>
        <v>0</v>
      </c>
      <c r="I154" s="260"/>
    </row>
    <row r="155" spans="2:9" ht="12.75" customHeight="1">
      <c r="B155" s="327"/>
      <c r="C155" s="325"/>
      <c r="D155" s="158" t="s">
        <v>66</v>
      </c>
      <c r="E155" s="165"/>
      <c r="F155" s="164"/>
      <c r="G155" s="164"/>
      <c r="H155" s="164"/>
      <c r="I155" s="253"/>
    </row>
    <row r="156" spans="2:9" ht="15" customHeight="1">
      <c r="B156" s="327"/>
      <c r="C156" s="325"/>
      <c r="D156" s="158" t="s">
        <v>67</v>
      </c>
      <c r="E156" s="167">
        <f>F156+G156+H156</f>
        <v>0</v>
      </c>
      <c r="F156" s="164"/>
      <c r="G156" s="164"/>
      <c r="H156" s="164"/>
      <c r="I156" s="253"/>
    </row>
    <row r="157" spans="2:9" ht="16.5" customHeight="1">
      <c r="B157" s="327"/>
      <c r="C157" s="325"/>
      <c r="D157" s="158" t="s">
        <v>68</v>
      </c>
      <c r="E157" s="167">
        <f>F157+G157+H157</f>
        <v>94065</v>
      </c>
      <c r="F157" s="165">
        <v>74065</v>
      </c>
      <c r="G157" s="165">
        <v>20000</v>
      </c>
      <c r="H157" s="164"/>
      <c r="I157" s="253"/>
    </row>
    <row r="158" spans="2:9" ht="15" customHeight="1">
      <c r="B158" s="185"/>
      <c r="C158" s="325"/>
      <c r="D158" s="158" t="s">
        <v>69</v>
      </c>
      <c r="E158" s="167">
        <f>F158+G158+H158</f>
        <v>0</v>
      </c>
      <c r="F158" s="165"/>
      <c r="G158" s="165"/>
      <c r="H158" s="164"/>
      <c r="I158" s="253"/>
    </row>
    <row r="159" spans="2:9" ht="0.75" customHeight="1" hidden="1">
      <c r="B159" s="183"/>
      <c r="C159" s="325" t="s">
        <v>62</v>
      </c>
      <c r="D159" s="278" t="s">
        <v>63</v>
      </c>
      <c r="E159" s="167"/>
      <c r="F159" s="241"/>
      <c r="G159" s="241"/>
      <c r="H159" s="241"/>
      <c r="I159" s="256"/>
    </row>
    <row r="160" spans="2:9" ht="39.75" customHeight="1">
      <c r="B160" s="183" t="s">
        <v>203</v>
      </c>
      <c r="C160" s="325"/>
      <c r="D160" s="159" t="s">
        <v>63</v>
      </c>
      <c r="E160" s="274">
        <f>F160+G160+H160</f>
        <v>1057000</v>
      </c>
      <c r="F160" s="279">
        <f>F166+F168+F169+F163</f>
        <v>100000</v>
      </c>
      <c r="G160" s="279">
        <f>G162+G168</f>
        <v>657000</v>
      </c>
      <c r="H160" s="274">
        <f>H166+H168+H169</f>
        <v>300000</v>
      </c>
      <c r="I160" s="245"/>
    </row>
    <row r="161" spans="2:9" ht="12.75" customHeight="1">
      <c r="B161" s="183"/>
      <c r="C161" s="325"/>
      <c r="D161" s="158" t="s">
        <v>66</v>
      </c>
      <c r="E161" s="241"/>
      <c r="F161" s="285"/>
      <c r="G161" s="285"/>
      <c r="H161" s="241"/>
      <c r="I161" s="256"/>
    </row>
    <row r="162" spans="2:9" ht="15" customHeight="1">
      <c r="B162" s="183" t="s">
        <v>283</v>
      </c>
      <c r="C162" s="325"/>
      <c r="D162" s="158" t="s">
        <v>68</v>
      </c>
      <c r="E162" s="241"/>
      <c r="F162" s="285"/>
      <c r="G162" s="285">
        <v>507000</v>
      </c>
      <c r="H162" s="241"/>
      <c r="I162" s="256"/>
    </row>
    <row r="163" spans="2:9" ht="24" customHeight="1" hidden="1">
      <c r="B163" s="183" t="s">
        <v>113</v>
      </c>
      <c r="C163" s="325"/>
      <c r="D163" s="158" t="s">
        <v>68</v>
      </c>
      <c r="E163" s="167">
        <f>F163+G163+H163</f>
        <v>0</v>
      </c>
      <c r="F163" s="285"/>
      <c r="G163" s="285"/>
      <c r="H163" s="241"/>
      <c r="I163" s="256"/>
    </row>
    <row r="164" spans="2:9" ht="0.75" customHeight="1" hidden="1">
      <c r="B164" s="183"/>
      <c r="C164" s="325"/>
      <c r="D164" s="158" t="s">
        <v>69</v>
      </c>
      <c r="E164" s="280"/>
      <c r="F164" s="281"/>
      <c r="G164" s="281"/>
      <c r="H164" s="280"/>
      <c r="I164" s="256"/>
    </row>
    <row r="165" spans="2:9" ht="18" customHeight="1" hidden="1">
      <c r="B165" s="183" t="s">
        <v>114</v>
      </c>
      <c r="C165" s="325"/>
      <c r="D165" s="282"/>
      <c r="E165" s="283"/>
      <c r="F165" s="284"/>
      <c r="G165" s="284"/>
      <c r="H165" s="283"/>
      <c r="I165" s="256"/>
    </row>
    <row r="166" spans="2:9" ht="25.5" customHeight="1" hidden="1">
      <c r="B166" s="183" t="s">
        <v>115</v>
      </c>
      <c r="C166" s="325"/>
      <c r="D166" s="158" t="s">
        <v>66</v>
      </c>
      <c r="E166" s="167"/>
      <c r="F166" s="171"/>
      <c r="G166" s="171"/>
      <c r="H166" s="164"/>
      <c r="I166" s="257"/>
    </row>
    <row r="167" spans="2:9" ht="24" customHeight="1" hidden="1">
      <c r="B167" s="183" t="s">
        <v>116</v>
      </c>
      <c r="C167" s="325"/>
      <c r="D167" s="158" t="s">
        <v>67</v>
      </c>
      <c r="E167" s="167">
        <f>F167+G167+H167</f>
        <v>0</v>
      </c>
      <c r="F167" s="164"/>
      <c r="G167" s="164"/>
      <c r="H167" s="164"/>
      <c r="I167" s="257"/>
    </row>
    <row r="168" spans="2:9" ht="15" customHeight="1">
      <c r="B168" s="183" t="s">
        <v>282</v>
      </c>
      <c r="C168" s="325"/>
      <c r="D168" s="158" t="s">
        <v>68</v>
      </c>
      <c r="E168" s="167">
        <f>F168+G168+H168</f>
        <v>550000</v>
      </c>
      <c r="F168" s="165">
        <v>100000</v>
      </c>
      <c r="G168" s="165">
        <v>150000</v>
      </c>
      <c r="H168" s="164">
        <v>300000</v>
      </c>
      <c r="I168" s="257"/>
    </row>
    <row r="169" spans="2:9" ht="18" customHeight="1">
      <c r="B169" s="185"/>
      <c r="C169" s="325"/>
      <c r="D169" s="158" t="s">
        <v>69</v>
      </c>
      <c r="E169" s="167">
        <f>F169+G169+H169</f>
        <v>0</v>
      </c>
      <c r="F169" s="165"/>
      <c r="G169" s="165"/>
      <c r="H169" s="164"/>
      <c r="I169" s="257"/>
    </row>
    <row r="170" spans="2:9" ht="18" customHeight="1">
      <c r="B170" s="326" t="s">
        <v>262</v>
      </c>
      <c r="C170" s="325" t="s">
        <v>62</v>
      </c>
      <c r="D170" s="159" t="s">
        <v>63</v>
      </c>
      <c r="E170" s="167">
        <f>F170+G170+H170</f>
        <v>320147.43</v>
      </c>
      <c r="F170" s="167">
        <f>F172+F173+F174</f>
        <v>53521.59</v>
      </c>
      <c r="G170" s="167">
        <f>G172+G173+G174</f>
        <v>126625.84</v>
      </c>
      <c r="H170" s="167">
        <f>H172+H173+H174</f>
        <v>140000</v>
      </c>
      <c r="I170" s="256"/>
    </row>
    <row r="171" spans="2:9" ht="18" customHeight="1">
      <c r="B171" s="327"/>
      <c r="C171" s="325"/>
      <c r="D171" s="158" t="s">
        <v>66</v>
      </c>
      <c r="E171" s="165"/>
      <c r="F171" s="164"/>
      <c r="G171" s="164"/>
      <c r="H171" s="164"/>
      <c r="I171" s="252"/>
    </row>
    <row r="172" spans="2:9" ht="15" customHeight="1">
      <c r="B172" s="327"/>
      <c r="C172" s="325"/>
      <c r="D172" s="158" t="s">
        <v>67</v>
      </c>
      <c r="E172" s="167">
        <f>F172+G172+H172</f>
        <v>0</v>
      </c>
      <c r="F172" s="164"/>
      <c r="G172" s="164"/>
      <c r="H172" s="164"/>
      <c r="I172" s="257"/>
    </row>
    <row r="173" spans="2:9" ht="18" customHeight="1">
      <c r="B173" s="327"/>
      <c r="C173" s="325"/>
      <c r="D173" s="158" t="s">
        <v>68</v>
      </c>
      <c r="E173" s="167">
        <f>F173+G173+H173</f>
        <v>320147.43</v>
      </c>
      <c r="F173" s="165">
        <v>53521.59</v>
      </c>
      <c r="G173" s="165">
        <v>126625.84</v>
      </c>
      <c r="H173" s="164">
        <v>140000</v>
      </c>
      <c r="I173" s="257"/>
    </row>
    <row r="174" spans="2:9" ht="16.5" customHeight="1">
      <c r="B174" s="328"/>
      <c r="C174" s="325"/>
      <c r="D174" s="158" t="s">
        <v>69</v>
      </c>
      <c r="E174" s="167">
        <f>F174+G174+H174</f>
        <v>0</v>
      </c>
      <c r="F174" s="165"/>
      <c r="G174" s="165"/>
      <c r="H174" s="164"/>
      <c r="I174" s="257"/>
    </row>
    <row r="175" spans="2:9" ht="18" customHeight="1" hidden="1">
      <c r="B175" s="183"/>
      <c r="C175" s="325" t="s">
        <v>62</v>
      </c>
      <c r="D175" s="159" t="s">
        <v>63</v>
      </c>
      <c r="E175" s="167">
        <f>F175+G175+H175</f>
        <v>0</v>
      </c>
      <c r="F175" s="165"/>
      <c r="G175" s="165"/>
      <c r="H175" s="164"/>
      <c r="I175" s="257"/>
    </row>
    <row r="176" spans="2:9" ht="18" customHeight="1" hidden="1">
      <c r="B176" s="183" t="s">
        <v>101</v>
      </c>
      <c r="C176" s="325"/>
      <c r="D176" s="158" t="s">
        <v>66</v>
      </c>
      <c r="E176" s="165"/>
      <c r="F176" s="164"/>
      <c r="G176" s="164"/>
      <c r="H176" s="164"/>
      <c r="I176" s="255" t="s">
        <v>176</v>
      </c>
    </row>
    <row r="177" spans="2:9" ht="18" customHeight="1" hidden="1">
      <c r="B177" s="183" t="s">
        <v>195</v>
      </c>
      <c r="C177" s="325"/>
      <c r="D177" s="158" t="s">
        <v>67</v>
      </c>
      <c r="E177" s="167">
        <f>F177+G177+H177</f>
        <v>0</v>
      </c>
      <c r="F177" s="164"/>
      <c r="G177" s="164"/>
      <c r="H177" s="164"/>
      <c r="I177" s="257"/>
    </row>
    <row r="178" spans="2:9" ht="18" customHeight="1" hidden="1">
      <c r="B178" s="185"/>
      <c r="C178" s="325"/>
      <c r="D178" s="158" t="s">
        <v>68</v>
      </c>
      <c r="E178" s="167">
        <f>F178+G178+H178</f>
        <v>0</v>
      </c>
      <c r="F178" s="165"/>
      <c r="G178" s="165"/>
      <c r="H178" s="164"/>
      <c r="I178" s="257"/>
    </row>
    <row r="179" spans="2:9" ht="18" customHeight="1" hidden="1">
      <c r="B179" s="185"/>
      <c r="C179" s="325"/>
      <c r="D179" s="158" t="s">
        <v>69</v>
      </c>
      <c r="E179" s="167">
        <f>F179+G179+H179</f>
        <v>0</v>
      </c>
      <c r="F179" s="165"/>
      <c r="G179" s="165"/>
      <c r="H179" s="164"/>
      <c r="I179" s="257"/>
    </row>
    <row r="180" spans="2:9" ht="18" customHeight="1" hidden="1">
      <c r="B180" s="183"/>
      <c r="C180" s="325" t="s">
        <v>62</v>
      </c>
      <c r="D180" s="159" t="s">
        <v>63</v>
      </c>
      <c r="E180" s="167">
        <f>F180+G180+H180</f>
        <v>0</v>
      </c>
      <c r="F180" s="165"/>
      <c r="G180" s="165"/>
      <c r="H180" s="164"/>
      <c r="I180" s="257"/>
    </row>
    <row r="181" spans="2:9" ht="18" customHeight="1" hidden="1">
      <c r="B181" s="183" t="s">
        <v>102</v>
      </c>
      <c r="C181" s="325"/>
      <c r="D181" s="158" t="s">
        <v>66</v>
      </c>
      <c r="E181" s="165"/>
      <c r="F181" s="164"/>
      <c r="G181" s="164"/>
      <c r="H181" s="164"/>
      <c r="I181" s="257"/>
    </row>
    <row r="182" spans="2:10" ht="18" customHeight="1" hidden="1">
      <c r="B182" s="183" t="s">
        <v>103</v>
      </c>
      <c r="C182" s="325"/>
      <c r="D182" s="158" t="s">
        <v>67</v>
      </c>
      <c r="E182" s="167">
        <f>F182+G182+H182</f>
        <v>0</v>
      </c>
      <c r="F182" s="164"/>
      <c r="G182" s="164"/>
      <c r="H182" s="164"/>
      <c r="I182" s="257" t="s">
        <v>177</v>
      </c>
      <c r="J182" s="153"/>
    </row>
    <row r="183" spans="2:10" ht="18" customHeight="1" hidden="1">
      <c r="B183" s="183" t="s">
        <v>104</v>
      </c>
      <c r="C183" s="325"/>
      <c r="D183" s="158" t="s">
        <v>68</v>
      </c>
      <c r="E183" s="167">
        <f>F183+G183+H183</f>
        <v>0</v>
      </c>
      <c r="F183" s="165"/>
      <c r="G183" s="165"/>
      <c r="H183" s="164"/>
      <c r="I183" s="257"/>
      <c r="J183" s="153"/>
    </row>
    <row r="184" spans="2:10" ht="18" customHeight="1" hidden="1">
      <c r="B184" s="185"/>
      <c r="C184" s="325"/>
      <c r="D184" s="158" t="s">
        <v>69</v>
      </c>
      <c r="E184" s="167">
        <f>F184+G184+H184</f>
        <v>0</v>
      </c>
      <c r="F184" s="165"/>
      <c r="G184" s="165"/>
      <c r="H184" s="164"/>
      <c r="I184" s="257"/>
      <c r="J184" s="153"/>
    </row>
    <row r="185" spans="2:10" ht="18" customHeight="1" hidden="1">
      <c r="B185" s="183"/>
      <c r="C185" s="325" t="s">
        <v>62</v>
      </c>
      <c r="D185" s="159" t="s">
        <v>63</v>
      </c>
      <c r="E185" s="167"/>
      <c r="F185" s="165"/>
      <c r="G185" s="165"/>
      <c r="H185" s="164"/>
      <c r="I185" s="257"/>
      <c r="J185" s="153"/>
    </row>
    <row r="186" spans="2:9" ht="18" customHeight="1" hidden="1">
      <c r="B186" s="183" t="s">
        <v>105</v>
      </c>
      <c r="C186" s="325"/>
      <c r="D186" s="158" t="s">
        <v>66</v>
      </c>
      <c r="E186" s="167">
        <f>F186+G186+H186</f>
        <v>0</v>
      </c>
      <c r="F186" s="318"/>
      <c r="G186" s="318"/>
      <c r="H186" s="164"/>
      <c r="I186" s="257"/>
    </row>
    <row r="187" spans="2:9" ht="18" customHeight="1" hidden="1">
      <c r="B187" s="183" t="s">
        <v>106</v>
      </c>
      <c r="C187" s="325"/>
      <c r="D187" s="158" t="s">
        <v>67</v>
      </c>
      <c r="E187" s="167">
        <f>F187+G187+H187</f>
        <v>0</v>
      </c>
      <c r="F187" s="318"/>
      <c r="G187" s="318"/>
      <c r="H187" s="164"/>
      <c r="I187" s="255" t="s">
        <v>178</v>
      </c>
    </row>
    <row r="188" spans="2:9" ht="18" customHeight="1" hidden="1">
      <c r="B188" s="183" t="s">
        <v>107</v>
      </c>
      <c r="C188" s="325"/>
      <c r="D188" s="158" t="s">
        <v>68</v>
      </c>
      <c r="E188" s="167">
        <f>F188+G188+H188</f>
        <v>0</v>
      </c>
      <c r="F188" s="165"/>
      <c r="G188" s="165"/>
      <c r="H188" s="164"/>
      <c r="I188" s="257"/>
    </row>
    <row r="189" spans="2:9" ht="18" customHeight="1" hidden="1">
      <c r="B189" s="185"/>
      <c r="C189" s="325"/>
      <c r="D189" s="158" t="s">
        <v>69</v>
      </c>
      <c r="E189" s="165"/>
      <c r="F189" s="165"/>
      <c r="G189" s="165"/>
      <c r="H189" s="164"/>
      <c r="I189" s="257"/>
    </row>
    <row r="190" spans="2:9" ht="18" customHeight="1" hidden="1">
      <c r="B190" s="183"/>
      <c r="C190" s="325" t="s">
        <v>62</v>
      </c>
      <c r="D190" s="159" t="s">
        <v>63</v>
      </c>
      <c r="E190" s="167">
        <f>F190+G190+H190</f>
        <v>0</v>
      </c>
      <c r="F190" s="165"/>
      <c r="G190" s="165"/>
      <c r="H190" s="164"/>
      <c r="I190" s="257"/>
    </row>
    <row r="191" spans="2:9" ht="18" customHeight="1" hidden="1">
      <c r="B191" s="183" t="s">
        <v>108</v>
      </c>
      <c r="C191" s="325"/>
      <c r="D191" s="158" t="s">
        <v>66</v>
      </c>
      <c r="E191" s="165"/>
      <c r="F191" s="318"/>
      <c r="G191" s="318"/>
      <c r="H191" s="164"/>
      <c r="I191" s="257"/>
    </row>
    <row r="192" spans="2:9" ht="18" customHeight="1" hidden="1">
      <c r="B192" s="183"/>
      <c r="C192" s="325"/>
      <c r="D192" s="158" t="s">
        <v>67</v>
      </c>
      <c r="E192" s="167">
        <f>F192+G192+H192</f>
        <v>0</v>
      </c>
      <c r="F192" s="318"/>
      <c r="G192" s="318"/>
      <c r="H192" s="164"/>
      <c r="I192" s="257"/>
    </row>
    <row r="193" spans="2:9" ht="18" customHeight="1" hidden="1">
      <c r="B193" s="183" t="s">
        <v>109</v>
      </c>
      <c r="C193" s="325"/>
      <c r="D193" s="158" t="s">
        <v>68</v>
      </c>
      <c r="E193" s="167">
        <f>F193+G193+H193</f>
        <v>0</v>
      </c>
      <c r="F193" s="165"/>
      <c r="G193" s="165"/>
      <c r="H193" s="164"/>
      <c r="I193" s="257"/>
    </row>
    <row r="194" spans="2:9" ht="18" customHeight="1" hidden="1">
      <c r="B194" s="185"/>
      <c r="C194" s="325"/>
      <c r="D194" s="158" t="s">
        <v>69</v>
      </c>
      <c r="E194" s="165"/>
      <c r="F194" s="165"/>
      <c r="G194" s="165"/>
      <c r="H194" s="164"/>
      <c r="I194" s="257"/>
    </row>
    <row r="195" spans="2:9" ht="18" customHeight="1">
      <c r="B195" s="375" t="s">
        <v>204</v>
      </c>
      <c r="C195" s="320" t="s">
        <v>62</v>
      </c>
      <c r="D195" s="159" t="s">
        <v>63</v>
      </c>
      <c r="E195" s="167">
        <f>F195+G195+H195</f>
        <v>21847841.36</v>
      </c>
      <c r="F195" s="167">
        <f>F197+F199+F198</f>
        <v>5871488.06</v>
      </c>
      <c r="G195" s="167">
        <f>G197+G199+G198</f>
        <v>7939213.300000001</v>
      </c>
      <c r="H195" s="167">
        <f>H197+H199+H198</f>
        <v>8037140</v>
      </c>
      <c r="I195" s="350" t="s">
        <v>179</v>
      </c>
    </row>
    <row r="196" spans="2:9" ht="12.75" customHeight="1">
      <c r="B196" s="375"/>
      <c r="C196" s="321"/>
      <c r="D196" s="158" t="s">
        <v>66</v>
      </c>
      <c r="E196" s="165"/>
      <c r="F196" s="165"/>
      <c r="G196" s="165"/>
      <c r="H196" s="164"/>
      <c r="I196" s="350"/>
    </row>
    <row r="197" spans="2:9" ht="22.5" customHeight="1">
      <c r="B197" s="375"/>
      <c r="C197" s="321"/>
      <c r="D197" s="158" t="s">
        <v>68</v>
      </c>
      <c r="E197" s="167">
        <f aca="true" t="shared" si="2" ref="E197:E202">F197+G197+H197</f>
        <v>21730521.36</v>
      </c>
      <c r="F197" s="165">
        <v>5825915.26</v>
      </c>
      <c r="G197" s="164">
        <f>160082.82+7732383.28</f>
        <v>7892466.100000001</v>
      </c>
      <c r="H197" s="164">
        <v>8012140</v>
      </c>
      <c r="I197" s="350"/>
    </row>
    <row r="198" spans="2:9" ht="15.75" customHeight="1">
      <c r="B198" s="375"/>
      <c r="C198" s="322"/>
      <c r="D198" s="158" t="s">
        <v>69</v>
      </c>
      <c r="E198" s="167">
        <f t="shared" si="2"/>
        <v>117320</v>
      </c>
      <c r="F198" s="165">
        <v>45572.8</v>
      </c>
      <c r="G198" s="165">
        <v>46747.2</v>
      </c>
      <c r="H198" s="165">
        <v>25000</v>
      </c>
      <c r="I198" s="245"/>
    </row>
    <row r="199" spans="2:9" ht="15.75" customHeight="1" hidden="1" thickBot="1">
      <c r="B199" s="375"/>
      <c r="C199" s="249"/>
      <c r="D199" s="158" t="s">
        <v>68</v>
      </c>
      <c r="E199" s="167">
        <f t="shared" si="2"/>
        <v>0</v>
      </c>
      <c r="F199" s="165"/>
      <c r="G199" s="164"/>
      <c r="H199" s="164"/>
      <c r="I199" s="244"/>
    </row>
    <row r="200" spans="2:9" ht="21" customHeight="1">
      <c r="B200" s="327" t="s">
        <v>257</v>
      </c>
      <c r="C200" s="325" t="s">
        <v>62</v>
      </c>
      <c r="D200" s="159" t="s">
        <v>63</v>
      </c>
      <c r="E200" s="167">
        <f t="shared" si="2"/>
        <v>359026</v>
      </c>
      <c r="F200" s="167">
        <f>F202+F203+F201</f>
        <v>359026</v>
      </c>
      <c r="G200" s="167">
        <f>G202+G203</f>
        <v>0</v>
      </c>
      <c r="H200" s="167">
        <f>H202+H203</f>
        <v>0</v>
      </c>
      <c r="I200" s="257"/>
    </row>
    <row r="201" spans="2:9" ht="21" customHeight="1">
      <c r="B201" s="327"/>
      <c r="C201" s="325"/>
      <c r="D201" s="158" t="s">
        <v>67</v>
      </c>
      <c r="E201" s="167">
        <f t="shared" si="2"/>
        <v>359026</v>
      </c>
      <c r="F201" s="165">
        <v>359026</v>
      </c>
      <c r="G201" s="165"/>
      <c r="H201" s="164"/>
      <c r="I201" s="257"/>
    </row>
    <row r="202" spans="2:9" ht="19.5" customHeight="1">
      <c r="B202" s="327"/>
      <c r="C202" s="325"/>
      <c r="D202" s="158" t="s">
        <v>68</v>
      </c>
      <c r="E202" s="167">
        <f t="shared" si="2"/>
        <v>0</v>
      </c>
      <c r="F202" s="165"/>
      <c r="G202" s="164"/>
      <c r="H202" s="164"/>
      <c r="I202" s="257"/>
    </row>
    <row r="203" spans="2:9" ht="0.75" customHeight="1" hidden="1" thickBot="1">
      <c r="B203" s="327"/>
      <c r="C203" s="325"/>
      <c r="D203" s="158" t="s">
        <v>67</v>
      </c>
      <c r="E203" s="167"/>
      <c r="F203" s="165"/>
      <c r="G203" s="164"/>
      <c r="H203" s="164"/>
      <c r="I203" s="257"/>
    </row>
    <row r="204" spans="2:9" ht="19.5" customHeight="1">
      <c r="B204" s="327" t="s">
        <v>205</v>
      </c>
      <c r="C204" s="306" t="s">
        <v>62</v>
      </c>
      <c r="D204" s="159" t="s">
        <v>63</v>
      </c>
      <c r="E204" s="167">
        <f>F204+G204+H204</f>
        <v>15827000</v>
      </c>
      <c r="F204" s="167">
        <f>F206</f>
        <v>4500000</v>
      </c>
      <c r="G204" s="167">
        <f>G206</f>
        <v>5391000</v>
      </c>
      <c r="H204" s="167">
        <f>H206</f>
        <v>5936000</v>
      </c>
      <c r="I204" s="350" t="s">
        <v>180</v>
      </c>
    </row>
    <row r="205" spans="2:9" ht="21.75" customHeight="1">
      <c r="B205" s="327"/>
      <c r="C205" s="306"/>
      <c r="D205" s="158" t="s">
        <v>66</v>
      </c>
      <c r="E205" s="165"/>
      <c r="F205" s="165"/>
      <c r="G205" s="165"/>
      <c r="H205" s="164"/>
      <c r="I205" s="350"/>
    </row>
    <row r="206" spans="2:9" ht="15" customHeight="1">
      <c r="B206" s="183" t="s">
        <v>196</v>
      </c>
      <c r="C206" s="306"/>
      <c r="D206" s="158" t="s">
        <v>67</v>
      </c>
      <c r="E206" s="167">
        <f>F206+G206+H206</f>
        <v>15827000</v>
      </c>
      <c r="F206" s="165">
        <v>4500000</v>
      </c>
      <c r="G206" s="164">
        <v>5391000</v>
      </c>
      <c r="H206" s="164">
        <v>5936000</v>
      </c>
      <c r="I206" s="350"/>
    </row>
    <row r="207" spans="2:9" ht="15" customHeight="1">
      <c r="B207" s="168"/>
      <c r="C207" s="306"/>
      <c r="D207" s="158" t="s">
        <v>67</v>
      </c>
      <c r="E207" s="167">
        <f>F207+G207+H207</f>
        <v>170731.54</v>
      </c>
      <c r="F207" s="165">
        <v>170731.54</v>
      </c>
      <c r="G207" s="164"/>
      <c r="H207" s="164"/>
      <c r="I207" s="350"/>
    </row>
    <row r="208" spans="2:9" ht="34.5" customHeight="1">
      <c r="B208" s="168" t="s">
        <v>106</v>
      </c>
      <c r="C208" s="306"/>
      <c r="D208" s="159"/>
      <c r="E208" s="167"/>
      <c r="F208" s="164">
        <v>100000</v>
      </c>
      <c r="G208" s="164">
        <f>265041.69+179146.59</f>
        <v>444188.28</v>
      </c>
      <c r="H208" s="164"/>
      <c r="I208" s="350"/>
    </row>
    <row r="209" spans="2:9" ht="14.25" customHeight="1" hidden="1">
      <c r="B209" s="183"/>
      <c r="C209" s="325" t="s">
        <v>62</v>
      </c>
      <c r="D209" s="159" t="s">
        <v>63</v>
      </c>
      <c r="E209" s="167">
        <f>F209+G209+H209</f>
        <v>0</v>
      </c>
      <c r="F209" s="167">
        <f>F211</f>
        <v>0</v>
      </c>
      <c r="G209" s="167">
        <f>G211</f>
        <v>0</v>
      </c>
      <c r="H209" s="167">
        <f>H211</f>
        <v>0</v>
      </c>
      <c r="I209" s="257"/>
    </row>
    <row r="210" spans="2:9" ht="14.25" customHeight="1" hidden="1">
      <c r="B210" s="183" t="s">
        <v>110</v>
      </c>
      <c r="C210" s="325"/>
      <c r="D210" s="159" t="s">
        <v>90</v>
      </c>
      <c r="E210" s="167"/>
      <c r="F210" s="165"/>
      <c r="G210" s="165"/>
      <c r="H210" s="164"/>
      <c r="I210" s="243" t="s">
        <v>181</v>
      </c>
    </row>
    <row r="211" spans="2:9" ht="14.25" customHeight="1" hidden="1">
      <c r="B211" s="183" t="s">
        <v>111</v>
      </c>
      <c r="C211" s="325"/>
      <c r="D211" s="159" t="s">
        <v>91</v>
      </c>
      <c r="E211" s="167"/>
      <c r="F211" s="165"/>
      <c r="G211" s="164"/>
      <c r="H211" s="164"/>
      <c r="I211" s="335" t="s">
        <v>182</v>
      </c>
    </row>
    <row r="212" spans="2:9" ht="14.25" customHeight="1" hidden="1">
      <c r="B212" s="183" t="s">
        <v>112</v>
      </c>
      <c r="C212" s="325"/>
      <c r="D212" s="158" t="s">
        <v>67</v>
      </c>
      <c r="E212" s="164"/>
      <c r="F212" s="164"/>
      <c r="G212" s="164"/>
      <c r="H212" s="164"/>
      <c r="I212" s="335"/>
    </row>
    <row r="213" spans="2:9" ht="14.25" customHeight="1" hidden="1">
      <c r="B213" s="183" t="s">
        <v>113</v>
      </c>
      <c r="C213" s="325"/>
      <c r="D213" s="170"/>
      <c r="E213" s="164"/>
      <c r="F213" s="164"/>
      <c r="G213" s="164"/>
      <c r="H213" s="164"/>
      <c r="I213" s="244"/>
    </row>
    <row r="214" spans="2:9" ht="14.25" customHeight="1" hidden="1">
      <c r="B214" s="183"/>
      <c r="C214" s="325"/>
      <c r="D214" s="170"/>
      <c r="E214" s="164"/>
      <c r="F214" s="164"/>
      <c r="G214" s="164"/>
      <c r="H214" s="164"/>
      <c r="I214" s="244"/>
    </row>
    <row r="215" spans="2:9" ht="14.25" customHeight="1" hidden="1">
      <c r="B215" s="183" t="s">
        <v>114</v>
      </c>
      <c r="C215" s="325"/>
      <c r="D215" s="170"/>
      <c r="E215" s="164"/>
      <c r="F215" s="164"/>
      <c r="G215" s="164"/>
      <c r="H215" s="164"/>
      <c r="I215" s="244"/>
    </row>
    <row r="216" spans="2:9" ht="14.25" customHeight="1" hidden="1">
      <c r="B216" s="183" t="s">
        <v>115</v>
      </c>
      <c r="C216" s="325"/>
      <c r="D216" s="170"/>
      <c r="E216" s="164"/>
      <c r="F216" s="164"/>
      <c r="G216" s="164"/>
      <c r="H216" s="164"/>
      <c r="I216" s="244"/>
    </row>
    <row r="217" spans="2:9" ht="14.25" customHeight="1" hidden="1">
      <c r="B217" s="183" t="s">
        <v>116</v>
      </c>
      <c r="C217" s="325"/>
      <c r="D217" s="170"/>
      <c r="E217" s="164"/>
      <c r="F217" s="164"/>
      <c r="G217" s="164"/>
      <c r="H217" s="164"/>
      <c r="I217" s="244"/>
    </row>
    <row r="218" spans="2:9" ht="14.25" customHeight="1" hidden="1">
      <c r="B218" s="183" t="s">
        <v>117</v>
      </c>
      <c r="C218" s="325"/>
      <c r="D218" s="170"/>
      <c r="E218" s="164"/>
      <c r="F218" s="164"/>
      <c r="G218" s="164"/>
      <c r="H218" s="164"/>
      <c r="I218" s="244"/>
    </row>
    <row r="219" spans="2:9" ht="12.75" customHeight="1">
      <c r="B219" s="327" t="s">
        <v>206</v>
      </c>
      <c r="C219" s="158"/>
      <c r="D219" s="159" t="s">
        <v>63</v>
      </c>
      <c r="E219" s="167">
        <f>F219+G219+H219</f>
        <v>406230.78</v>
      </c>
      <c r="F219" s="241">
        <f>F221</f>
        <v>114468.06</v>
      </c>
      <c r="G219" s="241">
        <f>G221</f>
        <v>137562.72</v>
      </c>
      <c r="H219" s="241">
        <f>H221</f>
        <v>154200</v>
      </c>
      <c r="I219" s="257"/>
    </row>
    <row r="220" spans="2:9" ht="12.75" customHeight="1">
      <c r="B220" s="327"/>
      <c r="C220" s="158"/>
      <c r="D220" s="158" t="s">
        <v>66</v>
      </c>
      <c r="E220" s="165"/>
      <c r="F220" s="164"/>
      <c r="G220" s="164"/>
      <c r="H220" s="164"/>
      <c r="I220" s="257"/>
    </row>
    <row r="221" spans="2:9" ht="12.75" customHeight="1">
      <c r="B221" s="327"/>
      <c r="C221" s="170"/>
      <c r="D221" s="158" t="s">
        <v>67</v>
      </c>
      <c r="E221" s="167">
        <f>F221+G221+H221</f>
        <v>406230.78</v>
      </c>
      <c r="F221" s="164">
        <v>114468.06</v>
      </c>
      <c r="G221" s="164">
        <v>137562.72</v>
      </c>
      <c r="H221" s="164">
        <v>154200</v>
      </c>
      <c r="I221" s="257"/>
    </row>
    <row r="222" spans="2:9" ht="15.75" customHeight="1" thickBot="1">
      <c r="B222" s="328"/>
      <c r="C222" s="262"/>
      <c r="D222" s="263"/>
      <c r="E222" s="189"/>
      <c r="F222" s="171"/>
      <c r="G222" s="171"/>
      <c r="H222" s="171"/>
      <c r="I222" s="264"/>
    </row>
    <row r="223" spans="2:9" ht="12.75" customHeight="1">
      <c r="B223" s="339" t="s">
        <v>240</v>
      </c>
      <c r="C223" s="323"/>
      <c r="D223" s="180" t="s">
        <v>63</v>
      </c>
      <c r="E223" s="193">
        <f>F223+G223+H223</f>
        <v>40082042.11</v>
      </c>
      <c r="F223" s="182">
        <f>F225+F226+F227</f>
        <v>11243300.25</v>
      </c>
      <c r="G223" s="182">
        <f>G225+G226+G227</f>
        <v>14271401.86</v>
      </c>
      <c r="H223" s="182">
        <f>H225+H226+H227</f>
        <v>14567340</v>
      </c>
      <c r="I223" s="265"/>
    </row>
    <row r="224" spans="2:9" ht="13.5" customHeight="1">
      <c r="B224" s="327"/>
      <c r="C224" s="306"/>
      <c r="D224" s="158" t="s">
        <v>66</v>
      </c>
      <c r="E224" s="167"/>
      <c r="F224" s="164"/>
      <c r="G224" s="164"/>
      <c r="H224" s="164">
        <f>H225+H226</f>
        <v>14542340</v>
      </c>
      <c r="I224" s="257"/>
    </row>
    <row r="225" spans="2:9" ht="15" customHeight="1">
      <c r="B225" s="327"/>
      <c r="C225" s="306"/>
      <c r="D225" s="159" t="s">
        <v>67</v>
      </c>
      <c r="E225" s="167">
        <f>F225+G225+H225</f>
        <v>16762988.32</v>
      </c>
      <c r="F225" s="165">
        <f>F206+F186+F181+F156+F221+F201+F207</f>
        <v>5144225.6</v>
      </c>
      <c r="G225" s="165">
        <f>G206+G221</f>
        <v>5528562.72</v>
      </c>
      <c r="H225" s="165">
        <f>H206+H186+H181+H156+H221</f>
        <v>6090200</v>
      </c>
      <c r="I225" s="257"/>
    </row>
    <row r="226" spans="2:9" ht="15" customHeight="1">
      <c r="B226" s="327"/>
      <c r="C226" s="306"/>
      <c r="D226" s="159" t="s">
        <v>68</v>
      </c>
      <c r="E226" s="167">
        <f>F226+G226+H226</f>
        <v>23201733.79</v>
      </c>
      <c r="F226" s="165">
        <f>F211+F199+F193+F188+F183+F178+F173+F168+F157+F197+F202+F163</f>
        <v>6053501.85</v>
      </c>
      <c r="G226" s="165">
        <f>G173+G168+G157+G197+G162</f>
        <v>8696091.940000001</v>
      </c>
      <c r="H226" s="165">
        <f>H211+H199+H193+H188+H183+H178+H173+H168+H157+H197+H202</f>
        <v>8452140</v>
      </c>
      <c r="I226" s="257"/>
    </row>
    <row r="227" spans="2:9" ht="15" customHeight="1" thickBot="1">
      <c r="B227" s="340"/>
      <c r="C227" s="324"/>
      <c r="D227" s="238" t="s">
        <v>69</v>
      </c>
      <c r="E227" s="195">
        <f>F227+G227+H227</f>
        <v>117320</v>
      </c>
      <c r="F227" s="186">
        <f>F198</f>
        <v>45572.8</v>
      </c>
      <c r="G227" s="186">
        <f>G198</f>
        <v>46747.2</v>
      </c>
      <c r="H227" s="186">
        <f>H198</f>
        <v>25000</v>
      </c>
      <c r="I227" s="261"/>
    </row>
    <row r="228" spans="2:9" ht="30.75" customHeight="1" hidden="1" thickBot="1">
      <c r="B228" s="336" t="s">
        <v>118</v>
      </c>
      <c r="C228" s="337"/>
      <c r="D228" s="337"/>
      <c r="E228" s="337"/>
      <c r="F228" s="337"/>
      <c r="G228" s="337"/>
      <c r="H228" s="337"/>
      <c r="I228" s="338"/>
    </row>
    <row r="229" spans="2:9" ht="13.5" hidden="1" thickBot="1">
      <c r="B229" s="143"/>
      <c r="C229" s="156"/>
      <c r="D229" s="192" t="s">
        <v>63</v>
      </c>
      <c r="E229" s="210">
        <f>F229+G229+H229</f>
        <v>0</v>
      </c>
      <c r="F229" s="208">
        <f>F231+F232</f>
        <v>0</v>
      </c>
      <c r="G229" s="208">
        <f>G231+G232</f>
        <v>0</v>
      </c>
      <c r="H229" s="208">
        <f>H231+H232</f>
        <v>0</v>
      </c>
      <c r="I229" s="203"/>
    </row>
    <row r="230" spans="2:9" ht="51" customHeight="1" hidden="1" thickBot="1">
      <c r="B230" s="146" t="s">
        <v>119</v>
      </c>
      <c r="C230" s="138"/>
      <c r="D230" s="156" t="s">
        <v>66</v>
      </c>
      <c r="E230" s="190"/>
      <c r="F230" s="206"/>
      <c r="G230" s="206"/>
      <c r="H230" s="206"/>
      <c r="I230" s="201"/>
    </row>
    <row r="231" spans="2:9" ht="13.5" customHeight="1" hidden="1" thickBot="1">
      <c r="B231" s="149" t="s">
        <v>191</v>
      </c>
      <c r="C231" s="138"/>
      <c r="D231" s="157" t="s">
        <v>67</v>
      </c>
      <c r="E231" s="191"/>
      <c r="F231" s="207"/>
      <c r="G231" s="207"/>
      <c r="H231" s="207"/>
      <c r="I231" s="202"/>
    </row>
    <row r="232" spans="2:9" ht="13.5" hidden="1" thickBot="1">
      <c r="B232" s="149"/>
      <c r="C232" s="139"/>
      <c r="D232" s="199" t="s">
        <v>68</v>
      </c>
      <c r="E232" s="210">
        <f>F232+G232+H232</f>
        <v>0</v>
      </c>
      <c r="F232" s="208"/>
      <c r="G232" s="208"/>
      <c r="H232" s="209">
        <v>0</v>
      </c>
      <c r="I232" s="203"/>
    </row>
    <row r="233" spans="2:9" ht="13.5" hidden="1" thickBot="1">
      <c r="B233" s="148"/>
      <c r="C233" s="140"/>
      <c r="D233" s="199" t="s">
        <v>69</v>
      </c>
      <c r="E233" s="210">
        <f>F233+G233+H233</f>
        <v>0</v>
      </c>
      <c r="F233" s="208"/>
      <c r="G233" s="208"/>
      <c r="H233" s="209"/>
      <c r="I233" s="203"/>
    </row>
    <row r="234" spans="2:9" ht="13.5" customHeight="1" hidden="1" thickBot="1">
      <c r="B234" s="146"/>
      <c r="C234" s="196"/>
      <c r="D234" s="192" t="s">
        <v>63</v>
      </c>
      <c r="E234" s="208"/>
      <c r="F234" s="208"/>
      <c r="G234" s="208"/>
      <c r="H234" s="208"/>
      <c r="I234" s="151" t="s">
        <v>121</v>
      </c>
    </row>
    <row r="235" spans="2:9" ht="25.5" customHeight="1" hidden="1" thickBot="1">
      <c r="B235" s="146" t="s">
        <v>120</v>
      </c>
      <c r="C235" s="197"/>
      <c r="D235" s="156" t="s">
        <v>66</v>
      </c>
      <c r="E235" s="212"/>
      <c r="F235" s="206"/>
      <c r="G235" s="206"/>
      <c r="H235" s="206"/>
      <c r="I235" s="160" t="s">
        <v>122</v>
      </c>
    </row>
    <row r="236" spans="2:9" ht="13.5" customHeight="1" hidden="1" thickBot="1">
      <c r="B236" s="149"/>
      <c r="C236" s="139"/>
      <c r="D236" s="157" t="s">
        <v>67</v>
      </c>
      <c r="E236" s="210">
        <f>F236+G236+H236</f>
        <v>0</v>
      </c>
      <c r="F236" s="207"/>
      <c r="G236" s="207"/>
      <c r="H236" s="207"/>
      <c r="I236" s="160" t="s">
        <v>123</v>
      </c>
    </row>
    <row r="237" spans="2:9" ht="13.5" customHeight="1" hidden="1" thickBot="1">
      <c r="B237" s="149"/>
      <c r="C237" s="139"/>
      <c r="D237" s="142" t="s">
        <v>68</v>
      </c>
      <c r="E237" s="210">
        <f>F237+G237+H237</f>
        <v>0</v>
      </c>
      <c r="F237" s="214"/>
      <c r="G237" s="208"/>
      <c r="H237" s="208"/>
      <c r="I237" s="160" t="s">
        <v>87</v>
      </c>
    </row>
    <row r="238" spans="2:9" ht="12" customHeight="1" hidden="1" thickBot="1">
      <c r="B238" s="148"/>
      <c r="C238" s="140"/>
      <c r="D238" s="142" t="s">
        <v>69</v>
      </c>
      <c r="E238" s="210">
        <f>F238+G238+H238</f>
        <v>0</v>
      </c>
      <c r="F238" s="214"/>
      <c r="G238" s="208"/>
      <c r="H238" s="208"/>
      <c r="I238" s="163"/>
    </row>
    <row r="239" spans="2:9" ht="13.5" customHeight="1" hidden="1" thickBot="1">
      <c r="B239" s="146"/>
      <c r="C239" s="196"/>
      <c r="D239" s="192" t="s">
        <v>63</v>
      </c>
      <c r="E239" s="191"/>
      <c r="F239" s="208"/>
      <c r="G239" s="208"/>
      <c r="H239" s="208"/>
      <c r="I239" s="151" t="s">
        <v>121</v>
      </c>
    </row>
    <row r="240" spans="2:9" ht="25.5" customHeight="1" hidden="1" thickBot="1">
      <c r="B240" s="146" t="s">
        <v>124</v>
      </c>
      <c r="C240" s="197"/>
      <c r="D240" s="156" t="s">
        <v>66</v>
      </c>
      <c r="E240" s="212"/>
      <c r="F240" s="330"/>
      <c r="G240" s="330"/>
      <c r="H240" s="330"/>
      <c r="I240" s="160" t="s">
        <v>125</v>
      </c>
    </row>
    <row r="241" spans="2:9" ht="13.5" customHeight="1" hidden="1" thickBot="1">
      <c r="B241" s="149"/>
      <c r="C241" s="139"/>
      <c r="D241" s="157" t="s">
        <v>67</v>
      </c>
      <c r="E241" s="213"/>
      <c r="F241" s="331"/>
      <c r="G241" s="331"/>
      <c r="H241" s="331"/>
      <c r="I241" s="160"/>
    </row>
    <row r="242" spans="2:9" ht="13.5" customHeight="1" hidden="1" thickBot="1">
      <c r="B242" s="149"/>
      <c r="C242" s="139"/>
      <c r="D242" s="142" t="s">
        <v>68</v>
      </c>
      <c r="E242" s="215"/>
      <c r="F242" s="208"/>
      <c r="G242" s="208"/>
      <c r="H242" s="208"/>
      <c r="I242" s="162"/>
    </row>
    <row r="243" spans="2:9" ht="13.5" customHeight="1" hidden="1" thickBot="1">
      <c r="B243" s="148"/>
      <c r="C243" s="140"/>
      <c r="D243" s="142" t="s">
        <v>69</v>
      </c>
      <c r="E243" s="205"/>
      <c r="F243" s="208"/>
      <c r="G243" s="208"/>
      <c r="H243" s="208"/>
      <c r="I243" s="163"/>
    </row>
    <row r="244" spans="2:9" ht="13.5" customHeight="1" hidden="1" thickBot="1">
      <c r="B244" s="332" t="s">
        <v>126</v>
      </c>
      <c r="C244" s="196"/>
      <c r="D244" s="192" t="s">
        <v>63</v>
      </c>
      <c r="E244" s="210">
        <f>F244+G244+H244</f>
        <v>0</v>
      </c>
      <c r="F244" s="210">
        <f>F245+F247</f>
        <v>0</v>
      </c>
      <c r="G244" s="210">
        <f>G245+G247</f>
        <v>0</v>
      </c>
      <c r="H244" s="210">
        <f>H245+H247</f>
        <v>0</v>
      </c>
      <c r="I244" s="175"/>
    </row>
    <row r="245" spans="2:9" ht="12.75" customHeight="1" hidden="1" thickBot="1">
      <c r="B245" s="333"/>
      <c r="C245" s="197"/>
      <c r="D245" s="156" t="s">
        <v>66</v>
      </c>
      <c r="E245" s="212"/>
      <c r="F245" s="206"/>
      <c r="G245" s="206"/>
      <c r="H245" s="206"/>
      <c r="I245" s="342"/>
    </row>
    <row r="246" spans="2:9" ht="13.5" customHeight="1" hidden="1" thickBot="1">
      <c r="B246" s="333"/>
      <c r="C246" s="197"/>
      <c r="D246" s="157" t="s">
        <v>67</v>
      </c>
      <c r="E246" s="212"/>
      <c r="F246" s="207"/>
      <c r="G246" s="207"/>
      <c r="H246" s="207"/>
      <c r="I246" s="346"/>
    </row>
    <row r="247" spans="2:9" ht="13.5" customHeight="1" hidden="1" thickBot="1">
      <c r="B247" s="334"/>
      <c r="C247" s="198"/>
      <c r="D247" s="142" t="s">
        <v>68</v>
      </c>
      <c r="E247" s="210">
        <f>F247+G247+H247</f>
        <v>0</v>
      </c>
      <c r="F247" s="208">
        <f>F242+F237+F232</f>
        <v>0</v>
      </c>
      <c r="G247" s="208">
        <f>G242+G237+G232</f>
        <v>0</v>
      </c>
      <c r="H247" s="208">
        <f>H242+H237+H232</f>
        <v>0</v>
      </c>
      <c r="I247" s="175"/>
    </row>
    <row r="248" spans="2:9" ht="25.5" customHeight="1" thickBot="1">
      <c r="B248" s="347" t="s">
        <v>207</v>
      </c>
      <c r="C248" s="348"/>
      <c r="D248" s="348"/>
      <c r="E248" s="348"/>
      <c r="F248" s="348"/>
      <c r="G248" s="348"/>
      <c r="H248" s="348"/>
      <c r="I248" s="349"/>
    </row>
    <row r="249" spans="2:9" ht="19.5" customHeight="1">
      <c r="B249" s="339" t="s">
        <v>208</v>
      </c>
      <c r="C249" s="179"/>
      <c r="D249" s="180" t="s">
        <v>63</v>
      </c>
      <c r="E249" s="193">
        <f>F249+G249+H249</f>
        <v>100000</v>
      </c>
      <c r="F249" s="193">
        <f>F251+F252</f>
        <v>20000</v>
      </c>
      <c r="G249" s="193">
        <f>G251+G252</f>
        <v>30000</v>
      </c>
      <c r="H249" s="193">
        <f>H251+H252</f>
        <v>50000</v>
      </c>
      <c r="I249" s="265"/>
    </row>
    <row r="250" spans="2:9" ht="24.75" customHeight="1">
      <c r="B250" s="327"/>
      <c r="C250" s="168" t="s">
        <v>62</v>
      </c>
      <c r="D250" s="158" t="s">
        <v>66</v>
      </c>
      <c r="E250" s="167"/>
      <c r="F250" s="164"/>
      <c r="G250" s="164"/>
      <c r="H250" s="164"/>
      <c r="I250" s="257"/>
    </row>
    <row r="251" spans="2:9" ht="16.5" customHeight="1">
      <c r="B251" s="327" t="s">
        <v>127</v>
      </c>
      <c r="C251" s="170"/>
      <c r="D251" s="158" t="s">
        <v>67</v>
      </c>
      <c r="E251" s="167">
        <f>F251+G251+H251</f>
        <v>0</v>
      </c>
      <c r="F251" s="164"/>
      <c r="G251" s="164"/>
      <c r="H251" s="164"/>
      <c r="I251" s="257"/>
    </row>
    <row r="252" spans="2:9" ht="12.75">
      <c r="B252" s="327"/>
      <c r="C252" s="170"/>
      <c r="D252" s="158" t="s">
        <v>68</v>
      </c>
      <c r="E252" s="167">
        <f>F252+G252+H252</f>
        <v>100000</v>
      </c>
      <c r="F252" s="165">
        <v>20000</v>
      </c>
      <c r="G252" s="165">
        <v>30000</v>
      </c>
      <c r="H252" s="165">
        <v>50000</v>
      </c>
      <c r="I252" s="257"/>
    </row>
    <row r="253" spans="2:9" ht="13.5" customHeight="1">
      <c r="B253" s="327"/>
      <c r="C253" s="170"/>
      <c r="D253" s="158" t="s">
        <v>69</v>
      </c>
      <c r="E253" s="167">
        <f>F253+G253+H253</f>
        <v>0</v>
      </c>
      <c r="F253" s="165"/>
      <c r="G253" s="165"/>
      <c r="H253" s="164"/>
      <c r="I253" s="257"/>
    </row>
    <row r="254" spans="2:9" ht="12.75" customHeight="1">
      <c r="B254" s="327" t="s">
        <v>209</v>
      </c>
      <c r="C254" s="306" t="s">
        <v>62</v>
      </c>
      <c r="D254" s="159" t="s">
        <v>63</v>
      </c>
      <c r="E254" s="167">
        <f>F254+G254+H254</f>
        <v>116240</v>
      </c>
      <c r="F254" s="167">
        <f>F257</f>
        <v>20690</v>
      </c>
      <c r="G254" s="167">
        <f>G257</f>
        <v>45550</v>
      </c>
      <c r="H254" s="241">
        <f>H257</f>
        <v>50000</v>
      </c>
      <c r="I254" s="257"/>
    </row>
    <row r="255" spans="2:9" ht="18" customHeight="1">
      <c r="B255" s="327"/>
      <c r="C255" s="306"/>
      <c r="D255" s="158" t="s">
        <v>66</v>
      </c>
      <c r="E255" s="167"/>
      <c r="F255" s="165"/>
      <c r="G255" s="165"/>
      <c r="H255" s="164"/>
      <c r="I255" s="257"/>
    </row>
    <row r="256" spans="2:9" ht="12.75" customHeight="1">
      <c r="B256" s="327"/>
      <c r="C256" s="306"/>
      <c r="D256" s="158" t="s">
        <v>67</v>
      </c>
      <c r="E256" s="167">
        <f>F256+G256+H256</f>
        <v>0</v>
      </c>
      <c r="F256" s="164"/>
      <c r="G256" s="164"/>
      <c r="H256" s="164"/>
      <c r="I256" s="244"/>
    </row>
    <row r="257" spans="2:9" ht="12.75">
      <c r="B257" s="327"/>
      <c r="C257" s="306"/>
      <c r="D257" s="158" t="s">
        <v>68</v>
      </c>
      <c r="E257" s="167">
        <f>F257+G257+H257</f>
        <v>116240</v>
      </c>
      <c r="F257" s="164">
        <v>20690</v>
      </c>
      <c r="G257" s="164">
        <v>45550</v>
      </c>
      <c r="H257" s="164">
        <v>50000</v>
      </c>
      <c r="I257" s="244"/>
    </row>
    <row r="258" spans="2:9" ht="24" customHeight="1">
      <c r="B258" s="327" t="s">
        <v>210</v>
      </c>
      <c r="C258" s="306" t="s">
        <v>62</v>
      </c>
      <c r="D258" s="159" t="s">
        <v>63</v>
      </c>
      <c r="E258" s="167">
        <f>F258+G258+H258</f>
        <v>455050</v>
      </c>
      <c r="F258" s="167">
        <f>F260+F261</f>
        <v>38700</v>
      </c>
      <c r="G258" s="167">
        <f>G260+G261</f>
        <v>216350</v>
      </c>
      <c r="H258" s="167">
        <f>H260+H261</f>
        <v>200000</v>
      </c>
      <c r="I258" s="257"/>
    </row>
    <row r="259" spans="2:9" ht="12.75" customHeight="1">
      <c r="B259" s="327"/>
      <c r="C259" s="306"/>
      <c r="D259" s="158" t="s">
        <v>66</v>
      </c>
      <c r="E259" s="167"/>
      <c r="F259" s="165"/>
      <c r="G259" s="165"/>
      <c r="H259" s="164"/>
      <c r="I259" s="257"/>
    </row>
    <row r="260" spans="2:9" ht="12.75" customHeight="1">
      <c r="B260" s="327"/>
      <c r="C260" s="306"/>
      <c r="D260" s="158" t="s">
        <v>67</v>
      </c>
      <c r="E260" s="167">
        <f>F260+G260+H260</f>
        <v>0</v>
      </c>
      <c r="F260" s="164"/>
      <c r="G260" s="164"/>
      <c r="H260" s="164"/>
      <c r="I260" s="244"/>
    </row>
    <row r="261" spans="2:9" ht="12.75">
      <c r="B261" s="327"/>
      <c r="C261" s="306"/>
      <c r="D261" s="158" t="s">
        <v>68</v>
      </c>
      <c r="E261" s="167">
        <f>F261+G261+H261</f>
        <v>455050</v>
      </c>
      <c r="F261" s="164">
        <v>38700</v>
      </c>
      <c r="G261" s="164">
        <v>216350</v>
      </c>
      <c r="H261" s="164">
        <v>200000</v>
      </c>
      <c r="I261" s="244"/>
    </row>
    <row r="262" spans="2:9" ht="20.25" customHeight="1">
      <c r="B262" s="183" t="s">
        <v>286</v>
      </c>
      <c r="C262" s="306" t="s">
        <v>62</v>
      </c>
      <c r="D262" s="159" t="s">
        <v>63</v>
      </c>
      <c r="E262" s="167">
        <f>F262+G262+H262</f>
        <v>319832.9</v>
      </c>
      <c r="F262" s="167">
        <f>F264+F265</f>
        <v>0</v>
      </c>
      <c r="G262" s="167">
        <f>G263+G265</f>
        <v>169832.9</v>
      </c>
      <c r="H262" s="167">
        <f>H264+H265</f>
        <v>150000</v>
      </c>
      <c r="I262" s="257"/>
    </row>
    <row r="263" spans="2:9" ht="51" customHeight="1">
      <c r="B263" s="183" t="s">
        <v>274</v>
      </c>
      <c r="C263" s="306"/>
      <c r="D263" s="158" t="s">
        <v>66</v>
      </c>
      <c r="E263" s="167"/>
      <c r="F263" s="165"/>
      <c r="G263" s="165"/>
      <c r="H263" s="164"/>
      <c r="I263" s="257"/>
    </row>
    <row r="264" spans="2:9" ht="12.75" customHeight="1" hidden="1">
      <c r="B264" s="185"/>
      <c r="C264" s="306"/>
      <c r="D264" s="158" t="s">
        <v>67</v>
      </c>
      <c r="E264" s="167">
        <f>F264+G264+H264</f>
        <v>0</v>
      </c>
      <c r="F264" s="164"/>
      <c r="G264" s="164"/>
      <c r="H264" s="164"/>
      <c r="I264" s="244"/>
    </row>
    <row r="265" spans="2:9" ht="14.25" customHeight="1">
      <c r="B265" s="185"/>
      <c r="C265" s="168"/>
      <c r="D265" s="158" t="s">
        <v>68</v>
      </c>
      <c r="E265" s="167">
        <f>F265+G265+H265</f>
        <v>319832.9</v>
      </c>
      <c r="F265" s="164"/>
      <c r="G265" s="164">
        <f>50000+69832.9+50000</f>
        <v>169832.9</v>
      </c>
      <c r="H265" s="164">
        <v>150000</v>
      </c>
      <c r="I265" s="244"/>
    </row>
    <row r="266" spans="2:9" ht="15.75" customHeight="1" hidden="1" thickBot="1">
      <c r="B266" s="327" t="s">
        <v>211</v>
      </c>
      <c r="C266" s="168" t="s">
        <v>128</v>
      </c>
      <c r="D266" s="159" t="s">
        <v>63</v>
      </c>
      <c r="E266" s="167">
        <f>F266+G266+H266</f>
        <v>0</v>
      </c>
      <c r="F266" s="167">
        <f>F268+F269</f>
        <v>0</v>
      </c>
      <c r="G266" s="167"/>
      <c r="H266" s="241"/>
      <c r="I266" s="257"/>
    </row>
    <row r="267" spans="2:9" ht="12.75" customHeight="1" hidden="1" thickBot="1">
      <c r="B267" s="327"/>
      <c r="C267" s="168" t="s">
        <v>129</v>
      </c>
      <c r="D267" s="158" t="s">
        <v>66</v>
      </c>
      <c r="E267" s="167"/>
      <c r="F267" s="165"/>
      <c r="G267" s="165"/>
      <c r="H267" s="164"/>
      <c r="I267" s="257"/>
    </row>
    <row r="268" spans="2:9" ht="12.75" customHeight="1" hidden="1" thickBot="1">
      <c r="B268" s="327"/>
      <c r="C268" s="170"/>
      <c r="D268" s="158" t="s">
        <v>67</v>
      </c>
      <c r="E268" s="167">
        <f>F268+G268+H268</f>
        <v>0</v>
      </c>
      <c r="F268" s="164"/>
      <c r="G268" s="164"/>
      <c r="H268" s="164"/>
      <c r="I268" s="244"/>
    </row>
    <row r="269" spans="2:9" ht="12.75" hidden="1">
      <c r="B269" s="327"/>
      <c r="C269" s="170"/>
      <c r="D269" s="158" t="s">
        <v>68</v>
      </c>
      <c r="E269" s="167">
        <f>F269+G269+H269</f>
        <v>0</v>
      </c>
      <c r="F269" s="164"/>
      <c r="G269" s="164"/>
      <c r="H269" s="164"/>
      <c r="I269" s="244"/>
    </row>
    <row r="270" spans="2:9" ht="12.75" customHeight="1" hidden="1" thickBot="1">
      <c r="B270" s="327" t="s">
        <v>212</v>
      </c>
      <c r="C270" s="168"/>
      <c r="D270" s="159" t="s">
        <v>63</v>
      </c>
      <c r="E270" s="167">
        <f>F270+G270+H270</f>
        <v>0</v>
      </c>
      <c r="F270" s="167">
        <f>F272+F273</f>
        <v>0</v>
      </c>
      <c r="G270" s="167"/>
      <c r="H270" s="241"/>
      <c r="I270" s="257"/>
    </row>
    <row r="271" spans="2:9" ht="24" customHeight="1" hidden="1" thickBot="1">
      <c r="B271" s="327"/>
      <c r="C271" s="168" t="s">
        <v>62</v>
      </c>
      <c r="D271" s="158" t="s">
        <v>66</v>
      </c>
      <c r="E271" s="167"/>
      <c r="F271" s="165"/>
      <c r="G271" s="165"/>
      <c r="H271" s="164"/>
      <c r="I271" s="257"/>
    </row>
    <row r="272" spans="2:9" ht="0.75" customHeight="1" hidden="1" thickBot="1">
      <c r="B272" s="327"/>
      <c r="C272" s="170"/>
      <c r="D272" s="158" t="s">
        <v>67</v>
      </c>
      <c r="E272" s="167">
        <f>F272+G272+H272</f>
        <v>0</v>
      </c>
      <c r="F272" s="165"/>
      <c r="G272" s="165"/>
      <c r="H272" s="164"/>
      <c r="I272" s="257"/>
    </row>
    <row r="273" spans="2:9" ht="15.75" customHeight="1" hidden="1" thickBot="1">
      <c r="B273" s="327"/>
      <c r="C273" s="170"/>
      <c r="D273" s="158" t="s">
        <v>68</v>
      </c>
      <c r="E273" s="167">
        <f>F273+G273+H273</f>
        <v>0</v>
      </c>
      <c r="F273" s="164"/>
      <c r="G273" s="164"/>
      <c r="H273" s="164"/>
      <c r="I273" s="244"/>
    </row>
    <row r="274" spans="2:9" ht="12.75" hidden="1">
      <c r="B274" s="185"/>
      <c r="C274" s="170"/>
      <c r="D274" s="170"/>
      <c r="E274" s="241"/>
      <c r="F274" s="164"/>
      <c r="G274" s="164"/>
      <c r="H274" s="164"/>
      <c r="I274" s="244"/>
    </row>
    <row r="275" spans="2:9" ht="39" hidden="1">
      <c r="B275" s="183" t="s">
        <v>225</v>
      </c>
      <c r="C275" s="168"/>
      <c r="D275" s="159" t="s">
        <v>63</v>
      </c>
      <c r="E275" s="167">
        <f>F275+G275+H275</f>
        <v>0</v>
      </c>
      <c r="F275" s="167">
        <f>F281+F280</f>
        <v>0</v>
      </c>
      <c r="G275" s="167"/>
      <c r="H275" s="241"/>
      <c r="I275" s="257"/>
    </row>
    <row r="276" spans="2:9" ht="12.75" hidden="1">
      <c r="B276" s="183" t="s">
        <v>94</v>
      </c>
      <c r="C276" s="168"/>
      <c r="D276" s="159"/>
      <c r="E276" s="167"/>
      <c r="F276" s="167"/>
      <c r="G276" s="167"/>
      <c r="H276" s="241"/>
      <c r="I276" s="257"/>
    </row>
    <row r="277" spans="2:9" ht="12.75" hidden="1">
      <c r="B277" s="183" t="s">
        <v>95</v>
      </c>
      <c r="C277" s="168"/>
      <c r="D277" s="159"/>
      <c r="E277" s="167"/>
      <c r="F277" s="167"/>
      <c r="G277" s="167"/>
      <c r="H277" s="241"/>
      <c r="I277" s="257"/>
    </row>
    <row r="278" spans="2:9" ht="12.75" hidden="1">
      <c r="B278" s="183" t="s">
        <v>96</v>
      </c>
      <c r="C278" s="168"/>
      <c r="D278" s="159"/>
      <c r="E278" s="167"/>
      <c r="F278" s="167"/>
      <c r="G278" s="167"/>
      <c r="H278" s="241"/>
      <c r="I278" s="257"/>
    </row>
    <row r="279" spans="2:9" ht="16.5" customHeight="1" hidden="1">
      <c r="B279" s="183" t="s">
        <v>97</v>
      </c>
      <c r="C279" s="168" t="s">
        <v>62</v>
      </c>
      <c r="D279" s="158" t="s">
        <v>66</v>
      </c>
      <c r="E279" s="167"/>
      <c r="F279" s="165"/>
      <c r="G279" s="165"/>
      <c r="H279" s="164"/>
      <c r="I279" s="257"/>
    </row>
    <row r="280" spans="2:9" ht="12.75" customHeight="1" hidden="1">
      <c r="B280" s="183" t="s">
        <v>98</v>
      </c>
      <c r="C280" s="168" t="s">
        <v>130</v>
      </c>
      <c r="D280" s="158" t="s">
        <v>67</v>
      </c>
      <c r="E280" s="167">
        <f>F280+G280+H280</f>
        <v>0</v>
      </c>
      <c r="F280" s="164"/>
      <c r="G280" s="164"/>
      <c r="H280" s="164"/>
      <c r="I280" s="257"/>
    </row>
    <row r="281" spans="2:9" ht="13.5" customHeight="1" hidden="1">
      <c r="B281" s="183" t="s">
        <v>99</v>
      </c>
      <c r="C281" s="168" t="s">
        <v>77</v>
      </c>
      <c r="D281" s="158" t="s">
        <v>68</v>
      </c>
      <c r="E281" s="167">
        <f>F281+G281+H281</f>
        <v>0</v>
      </c>
      <c r="F281" s="164"/>
      <c r="G281" s="164"/>
      <c r="H281" s="164"/>
      <c r="I281" s="257"/>
    </row>
    <row r="282" spans="2:9" ht="26.25" hidden="1">
      <c r="B282" s="183" t="s">
        <v>100</v>
      </c>
      <c r="C282" s="170"/>
      <c r="D282" s="158" t="s">
        <v>69</v>
      </c>
      <c r="E282" s="241"/>
      <c r="F282" s="165"/>
      <c r="G282" s="165"/>
      <c r="H282" s="164"/>
      <c r="I282" s="257"/>
    </row>
    <row r="283" spans="2:9" ht="13.5" customHeight="1" hidden="1">
      <c r="B283" s="246" t="s">
        <v>226</v>
      </c>
      <c r="C283" s="170"/>
      <c r="D283" s="170"/>
      <c r="E283" s="241"/>
      <c r="F283" s="165"/>
      <c r="G283" s="165"/>
      <c r="H283" s="164"/>
      <c r="I283" s="257"/>
    </row>
    <row r="284" spans="2:9" ht="12.75" customHeight="1">
      <c r="B284" s="183" t="s">
        <v>227</v>
      </c>
      <c r="C284" s="168"/>
      <c r="D284" s="159" t="s">
        <v>63</v>
      </c>
      <c r="E284" s="167">
        <f>F284+G284+H284</f>
        <v>465102.44</v>
      </c>
      <c r="F284" s="241">
        <f>F287+F288</f>
        <v>71272.74</v>
      </c>
      <c r="G284" s="241">
        <f>G287+G288</f>
        <v>243829.7</v>
      </c>
      <c r="H284" s="241">
        <f>H287+H288</f>
        <v>150000</v>
      </c>
      <c r="I284" s="257"/>
    </row>
    <row r="285" spans="2:9" ht="25.5" customHeight="1">
      <c r="B285" s="183" t="s">
        <v>228</v>
      </c>
      <c r="C285" s="168" t="s">
        <v>62</v>
      </c>
      <c r="D285" s="158" t="s">
        <v>66</v>
      </c>
      <c r="E285" s="167"/>
      <c r="F285" s="164"/>
      <c r="G285" s="164"/>
      <c r="H285" s="164"/>
      <c r="I285" s="257"/>
    </row>
    <row r="286" spans="2:9" ht="12.75" customHeight="1">
      <c r="B286" s="246" t="s">
        <v>201</v>
      </c>
      <c r="C286" s="168"/>
      <c r="D286" s="158"/>
      <c r="E286" s="167"/>
      <c r="F286" s="164"/>
      <c r="G286" s="164"/>
      <c r="H286" s="164"/>
      <c r="I286" s="257"/>
    </row>
    <row r="287" spans="2:9" ht="12.75" customHeight="1">
      <c r="B287" s="183" t="s">
        <v>131</v>
      </c>
      <c r="C287" s="168" t="s">
        <v>130</v>
      </c>
      <c r="D287" s="158" t="s">
        <v>67</v>
      </c>
      <c r="E287" s="167">
        <f>F287+G287+H287</f>
        <v>0</v>
      </c>
      <c r="F287" s="164"/>
      <c r="G287" s="164"/>
      <c r="H287" s="164"/>
      <c r="I287" s="257"/>
    </row>
    <row r="288" spans="2:9" ht="13.5" customHeight="1">
      <c r="B288" s="183" t="s">
        <v>132</v>
      </c>
      <c r="C288" s="168" t="s">
        <v>77</v>
      </c>
      <c r="D288" s="158" t="s">
        <v>68</v>
      </c>
      <c r="E288" s="167">
        <f>F288+G288+H288</f>
        <v>465102.44</v>
      </c>
      <c r="F288" s="164">
        <v>71272.74</v>
      </c>
      <c r="G288" s="164">
        <v>243829.7</v>
      </c>
      <c r="H288" s="164">
        <v>150000</v>
      </c>
      <c r="I288" s="257"/>
    </row>
    <row r="289" spans="2:9" ht="12.75" customHeight="1">
      <c r="B289" s="183" t="s">
        <v>133</v>
      </c>
      <c r="C289" s="170"/>
      <c r="D289" s="158" t="s">
        <v>69</v>
      </c>
      <c r="E289" s="167">
        <f>F289+G289+H289</f>
        <v>0</v>
      </c>
      <c r="F289" s="164"/>
      <c r="G289" s="164"/>
      <c r="H289" s="164"/>
      <c r="I289" s="257"/>
    </row>
    <row r="290" spans="2:9" ht="12.75">
      <c r="B290" s="183" t="s">
        <v>134</v>
      </c>
      <c r="C290" s="170"/>
      <c r="D290" s="170"/>
      <c r="E290" s="241"/>
      <c r="F290" s="164"/>
      <c r="G290" s="164"/>
      <c r="H290" s="164"/>
      <c r="I290" s="257"/>
    </row>
    <row r="291" spans="2:9" ht="0.75" customHeight="1" hidden="1">
      <c r="B291" s="183"/>
      <c r="C291" s="170"/>
      <c r="D291" s="170"/>
      <c r="E291" s="241"/>
      <c r="F291" s="165"/>
      <c r="G291" s="165"/>
      <c r="H291" s="164"/>
      <c r="I291" s="257"/>
    </row>
    <row r="292" spans="2:9" ht="13.5" customHeight="1" hidden="1" thickBot="1">
      <c r="B292" s="185"/>
      <c r="C292" s="170"/>
      <c r="D292" s="170"/>
      <c r="E292" s="241"/>
      <c r="F292" s="165"/>
      <c r="G292" s="165"/>
      <c r="H292" s="164"/>
      <c r="I292" s="257"/>
    </row>
    <row r="293" spans="2:9" ht="12.75" hidden="1">
      <c r="B293" s="183"/>
      <c r="C293" s="168"/>
      <c r="D293" s="159" t="s">
        <v>63</v>
      </c>
      <c r="E293" s="167">
        <f>F293+G293+H293</f>
        <v>0</v>
      </c>
      <c r="F293" s="167">
        <f>F294+F296</f>
        <v>0</v>
      </c>
      <c r="G293" s="167"/>
      <c r="H293" s="241"/>
      <c r="I293" s="257"/>
    </row>
    <row r="294" spans="2:9" ht="12.75" customHeight="1" hidden="1" thickBot="1">
      <c r="B294" s="183" t="s">
        <v>135</v>
      </c>
      <c r="C294" s="168" t="s">
        <v>62</v>
      </c>
      <c r="D294" s="158" t="s">
        <v>66</v>
      </c>
      <c r="E294" s="167"/>
      <c r="F294" s="164"/>
      <c r="G294" s="164"/>
      <c r="H294" s="164"/>
      <c r="I294" s="257"/>
    </row>
    <row r="295" spans="2:9" ht="12.75" hidden="1">
      <c r="B295" s="183"/>
      <c r="C295" s="168" t="s">
        <v>130</v>
      </c>
      <c r="D295" s="158" t="s">
        <v>67</v>
      </c>
      <c r="E295" s="167">
        <f>F295+G295+H295</f>
        <v>0</v>
      </c>
      <c r="F295" s="164"/>
      <c r="G295" s="164"/>
      <c r="H295" s="164"/>
      <c r="I295" s="257"/>
    </row>
    <row r="296" spans="2:9" ht="13.5" customHeight="1" hidden="1" thickBot="1">
      <c r="B296" s="185"/>
      <c r="C296" s="168" t="s">
        <v>77</v>
      </c>
      <c r="D296" s="158" t="s">
        <v>68</v>
      </c>
      <c r="E296" s="167">
        <f>F296+G296+H296</f>
        <v>0</v>
      </c>
      <c r="F296" s="165"/>
      <c r="G296" s="165"/>
      <c r="H296" s="164"/>
      <c r="I296" s="257"/>
    </row>
    <row r="297" spans="2:9" ht="13.5" customHeight="1" hidden="1" thickBot="1">
      <c r="B297" s="185"/>
      <c r="C297" s="170"/>
      <c r="D297" s="158" t="s">
        <v>69</v>
      </c>
      <c r="E297" s="167">
        <f>F297+G297+H297</f>
        <v>0</v>
      </c>
      <c r="F297" s="165"/>
      <c r="G297" s="165"/>
      <c r="H297" s="164"/>
      <c r="I297" s="257"/>
    </row>
    <row r="298" spans="2:9" ht="0.75" customHeight="1" hidden="1">
      <c r="B298" s="183"/>
      <c r="C298" s="306" t="s">
        <v>62</v>
      </c>
      <c r="D298" s="159" t="s">
        <v>63</v>
      </c>
      <c r="E298" s="167">
        <f>F298+G298+H298</f>
        <v>0</v>
      </c>
      <c r="F298" s="167">
        <f>F300+F301</f>
        <v>0</v>
      </c>
      <c r="G298" s="167">
        <f>G300+G301</f>
        <v>0</v>
      </c>
      <c r="H298" s="241"/>
      <c r="I298" s="257"/>
    </row>
    <row r="299" spans="2:9" ht="19.5" customHeight="1" hidden="1" thickBot="1">
      <c r="B299" s="183" t="s">
        <v>213</v>
      </c>
      <c r="C299" s="306"/>
      <c r="D299" s="158" t="s">
        <v>66</v>
      </c>
      <c r="E299" s="167"/>
      <c r="F299" s="164"/>
      <c r="G299" s="164"/>
      <c r="H299" s="164"/>
      <c r="I299" s="257"/>
    </row>
    <row r="300" spans="2:9" ht="12.75" hidden="1">
      <c r="B300" s="185"/>
      <c r="C300" s="168" t="s">
        <v>130</v>
      </c>
      <c r="D300" s="158" t="s">
        <v>67</v>
      </c>
      <c r="E300" s="167">
        <f>F300+G300+H300</f>
        <v>0</v>
      </c>
      <c r="F300" s="164"/>
      <c r="G300" s="164"/>
      <c r="H300" s="164"/>
      <c r="I300" s="257"/>
    </row>
    <row r="301" spans="2:9" ht="13.5" customHeight="1" hidden="1" thickBot="1">
      <c r="B301" s="185"/>
      <c r="C301" s="168" t="s">
        <v>77</v>
      </c>
      <c r="D301" s="158" t="s">
        <v>68</v>
      </c>
      <c r="E301" s="167">
        <f>F301+G301+H301</f>
        <v>0</v>
      </c>
      <c r="F301" s="165"/>
      <c r="G301" s="165"/>
      <c r="H301" s="164"/>
      <c r="I301" s="257"/>
    </row>
    <row r="302" spans="2:9" ht="13.5" customHeight="1" hidden="1" thickBot="1">
      <c r="B302" s="185"/>
      <c r="C302" s="170"/>
      <c r="D302" s="158" t="s">
        <v>69</v>
      </c>
      <c r="E302" s="167">
        <f>F302+G302+H302</f>
        <v>0</v>
      </c>
      <c r="F302" s="165"/>
      <c r="G302" s="165"/>
      <c r="H302" s="164"/>
      <c r="I302" s="257"/>
    </row>
    <row r="303" spans="2:9" ht="12.75" hidden="1">
      <c r="B303" s="183"/>
      <c r="C303" s="168"/>
      <c r="D303" s="159" t="s">
        <v>63</v>
      </c>
      <c r="E303" s="167">
        <f>F303+G303+H303</f>
        <v>0</v>
      </c>
      <c r="F303" s="167">
        <f>F305+F306</f>
        <v>0</v>
      </c>
      <c r="G303" s="167" t="s">
        <v>85</v>
      </c>
      <c r="H303" s="241" t="s">
        <v>85</v>
      </c>
      <c r="I303" s="257"/>
    </row>
    <row r="304" spans="2:9" ht="25.5" customHeight="1" hidden="1" thickBot="1">
      <c r="B304" s="183" t="s">
        <v>136</v>
      </c>
      <c r="C304" s="168" t="s">
        <v>62</v>
      </c>
      <c r="D304" s="158" t="s">
        <v>66</v>
      </c>
      <c r="E304" s="167"/>
      <c r="F304" s="164"/>
      <c r="G304" s="164"/>
      <c r="H304" s="164"/>
      <c r="I304" s="257"/>
    </row>
    <row r="305" spans="2:9" ht="12.75" hidden="1">
      <c r="B305" s="185"/>
      <c r="C305" s="168" t="s">
        <v>130</v>
      </c>
      <c r="D305" s="158" t="s">
        <v>67</v>
      </c>
      <c r="E305" s="167">
        <f>F305+G305+H305</f>
        <v>0</v>
      </c>
      <c r="F305" s="164"/>
      <c r="G305" s="164"/>
      <c r="H305" s="164"/>
      <c r="I305" s="257"/>
    </row>
    <row r="306" spans="2:9" ht="12.75" hidden="1">
      <c r="B306" s="185"/>
      <c r="C306" s="168"/>
      <c r="D306" s="158" t="s">
        <v>68</v>
      </c>
      <c r="E306" s="167">
        <f>F306+G306+H306</f>
        <v>0</v>
      </c>
      <c r="F306" s="165"/>
      <c r="G306" s="165" t="s">
        <v>85</v>
      </c>
      <c r="H306" s="164" t="s">
        <v>85</v>
      </c>
      <c r="I306" s="257"/>
    </row>
    <row r="307" spans="2:9" ht="12.75" customHeight="1" hidden="1" thickBot="1">
      <c r="B307" s="185"/>
      <c r="C307" s="170"/>
      <c r="D307" s="158" t="s">
        <v>69</v>
      </c>
      <c r="E307" s="167">
        <f>F307+G307+H307</f>
        <v>0</v>
      </c>
      <c r="F307" s="165"/>
      <c r="G307" s="165"/>
      <c r="H307" s="164"/>
      <c r="I307" s="257"/>
    </row>
    <row r="308" spans="2:9" ht="12.75" hidden="1">
      <c r="B308" s="183"/>
      <c r="C308" s="168"/>
      <c r="D308" s="159" t="s">
        <v>63</v>
      </c>
      <c r="E308" s="167">
        <f>F308+G308+H308</f>
        <v>0</v>
      </c>
      <c r="F308" s="167">
        <f>F310+F311</f>
        <v>0</v>
      </c>
      <c r="G308" s="167" t="s">
        <v>85</v>
      </c>
      <c r="H308" s="241"/>
      <c r="I308" s="257"/>
    </row>
    <row r="309" spans="2:9" ht="29.25" customHeight="1" hidden="1" thickBot="1">
      <c r="B309" s="183" t="s">
        <v>137</v>
      </c>
      <c r="C309" s="168" t="s">
        <v>62</v>
      </c>
      <c r="D309" s="158" t="s">
        <v>66</v>
      </c>
      <c r="E309" s="167"/>
      <c r="F309" s="164"/>
      <c r="G309" s="164"/>
      <c r="H309" s="164"/>
      <c r="I309" s="257"/>
    </row>
    <row r="310" spans="2:9" ht="12.75" hidden="1">
      <c r="B310" s="185"/>
      <c r="C310" s="168" t="s">
        <v>130</v>
      </c>
      <c r="D310" s="158" t="s">
        <v>67</v>
      </c>
      <c r="E310" s="167">
        <f>F310+G310+H310</f>
        <v>0</v>
      </c>
      <c r="F310" s="164"/>
      <c r="G310" s="164"/>
      <c r="H310" s="164"/>
      <c r="I310" s="257"/>
    </row>
    <row r="311" spans="2:9" ht="13.5" customHeight="1" hidden="1" thickBot="1">
      <c r="B311" s="185"/>
      <c r="C311" s="168" t="s">
        <v>77</v>
      </c>
      <c r="D311" s="158" t="s">
        <v>68</v>
      </c>
      <c r="E311" s="167">
        <f>F311+G311+H311</f>
        <v>0</v>
      </c>
      <c r="F311" s="165"/>
      <c r="G311" s="165"/>
      <c r="H311" s="164"/>
      <c r="I311" s="257"/>
    </row>
    <row r="312" spans="2:9" ht="13.5" customHeight="1" hidden="1" thickBot="1">
      <c r="B312" s="185"/>
      <c r="C312" s="170"/>
      <c r="D312" s="158" t="s">
        <v>69</v>
      </c>
      <c r="E312" s="167">
        <f>F312+G312+H312</f>
        <v>0</v>
      </c>
      <c r="F312" s="165"/>
      <c r="G312" s="165"/>
      <c r="H312" s="164"/>
      <c r="I312" s="257"/>
    </row>
    <row r="313" spans="2:9" ht="15.75" customHeight="1">
      <c r="B313" s="327" t="s">
        <v>229</v>
      </c>
      <c r="C313" s="168"/>
      <c r="D313" s="159" t="s">
        <v>63</v>
      </c>
      <c r="E313" s="167">
        <f>F313+G313+H313</f>
        <v>133600</v>
      </c>
      <c r="F313" s="167">
        <f>F315+F316</f>
        <v>35500</v>
      </c>
      <c r="G313" s="167">
        <f>G315+G316</f>
        <v>48100</v>
      </c>
      <c r="H313" s="167">
        <f>H315+H316</f>
        <v>50000</v>
      </c>
      <c r="I313" s="257"/>
    </row>
    <row r="314" spans="2:9" ht="23.25" customHeight="1">
      <c r="B314" s="327"/>
      <c r="C314" s="168" t="s">
        <v>62</v>
      </c>
      <c r="D314" s="158" t="s">
        <v>66</v>
      </c>
      <c r="E314" s="167"/>
      <c r="F314" s="164"/>
      <c r="G314" s="164"/>
      <c r="H314" s="164"/>
      <c r="I314" s="257"/>
    </row>
    <row r="315" spans="2:9" ht="13.5" customHeight="1" hidden="1" thickBot="1">
      <c r="B315" s="327"/>
      <c r="C315" s="168" t="s">
        <v>77</v>
      </c>
      <c r="D315" s="158" t="s">
        <v>67</v>
      </c>
      <c r="E315" s="167">
        <f>F315+G315+H315</f>
        <v>0</v>
      </c>
      <c r="F315" s="164"/>
      <c r="G315" s="164"/>
      <c r="H315" s="164"/>
      <c r="I315" s="257"/>
    </row>
    <row r="316" spans="2:9" ht="12.75">
      <c r="B316" s="327"/>
      <c r="C316" s="170"/>
      <c r="D316" s="158" t="s">
        <v>68</v>
      </c>
      <c r="E316" s="167">
        <f>F316+G316+H316</f>
        <v>133600</v>
      </c>
      <c r="F316" s="165">
        <v>35500</v>
      </c>
      <c r="G316" s="165">
        <v>48100</v>
      </c>
      <c r="H316" s="164">
        <v>50000</v>
      </c>
      <c r="I316" s="257"/>
    </row>
    <row r="317" spans="2:9" ht="13.5" customHeight="1" thickBot="1">
      <c r="B317" s="328"/>
      <c r="C317" s="262"/>
      <c r="D317" s="239" t="s">
        <v>69</v>
      </c>
      <c r="E317" s="274"/>
      <c r="F317" s="169"/>
      <c r="G317" s="169"/>
      <c r="H317" s="171"/>
      <c r="I317" s="264"/>
    </row>
    <row r="318" spans="2:9" ht="12.75">
      <c r="B318" s="339" t="s">
        <v>239</v>
      </c>
      <c r="C318" s="179"/>
      <c r="D318" s="180" t="s">
        <v>63</v>
      </c>
      <c r="E318" s="193">
        <f>F318+G318+H318</f>
        <v>1589825.3399999999</v>
      </c>
      <c r="F318" s="193">
        <f>F320+F321</f>
        <v>186162.74</v>
      </c>
      <c r="G318" s="193">
        <f>G320+G321</f>
        <v>753662.6</v>
      </c>
      <c r="H318" s="193">
        <f>H320+H321</f>
        <v>650000</v>
      </c>
      <c r="I318" s="265"/>
    </row>
    <row r="319" spans="2:9" ht="12.75" customHeight="1">
      <c r="B319" s="327"/>
      <c r="C319" s="168"/>
      <c r="D319" s="158" t="s">
        <v>66</v>
      </c>
      <c r="E319" s="167"/>
      <c r="F319" s="164"/>
      <c r="G319" s="164"/>
      <c r="H319" s="164"/>
      <c r="I319" s="257"/>
    </row>
    <row r="320" spans="2:9" ht="12.75" customHeight="1">
      <c r="B320" s="327"/>
      <c r="C320" s="168"/>
      <c r="D320" s="158" t="s">
        <v>67</v>
      </c>
      <c r="E320" s="167">
        <f>F320+G320+H320</f>
        <v>0</v>
      </c>
      <c r="F320" s="164"/>
      <c r="G320" s="164"/>
      <c r="H320" s="164"/>
      <c r="I320" s="257"/>
    </row>
    <row r="321" spans="2:9" ht="12.75">
      <c r="B321" s="327"/>
      <c r="C321" s="168"/>
      <c r="D321" s="158" t="s">
        <v>68</v>
      </c>
      <c r="E321" s="167">
        <f>F321+G321+H321</f>
        <v>1589825.3399999999</v>
      </c>
      <c r="F321" s="164">
        <f>F301+F288+F281+F265+F261+F252+F316+F257</f>
        <v>186162.74</v>
      </c>
      <c r="G321" s="164">
        <f>G301+G288+G281+G265+G261+G252+G316+G257</f>
        <v>753662.6</v>
      </c>
      <c r="H321" s="164">
        <f>H301+H288+H281+H265+H261+H252+H316+H257</f>
        <v>650000</v>
      </c>
      <c r="I321" s="257"/>
    </row>
    <row r="322" spans="2:9" ht="13.5" thickBot="1">
      <c r="B322" s="340"/>
      <c r="C322" s="266"/>
      <c r="D322" s="166" t="s">
        <v>69</v>
      </c>
      <c r="E322" s="195"/>
      <c r="F322" s="186"/>
      <c r="G322" s="186"/>
      <c r="H322" s="187"/>
      <c r="I322" s="261"/>
    </row>
    <row r="323" spans="2:9" ht="23.25" customHeight="1" thickBot="1">
      <c r="B323" s="315" t="s">
        <v>214</v>
      </c>
      <c r="C323" s="316"/>
      <c r="D323" s="316"/>
      <c r="E323" s="316"/>
      <c r="F323" s="316"/>
      <c r="G323" s="316"/>
      <c r="H323" s="316"/>
      <c r="I323" s="317"/>
    </row>
    <row r="324" spans="2:9" ht="13.5" hidden="1" thickBot="1">
      <c r="B324" s="143"/>
      <c r="C324" s="196"/>
      <c r="D324" s="192" t="s">
        <v>63</v>
      </c>
      <c r="E324" s="210">
        <f>F324+G324+H324</f>
        <v>0</v>
      </c>
      <c r="F324" s="214"/>
      <c r="G324" s="216" t="s">
        <v>85</v>
      </c>
      <c r="H324" s="209" t="s">
        <v>85</v>
      </c>
      <c r="I324" s="203"/>
    </row>
    <row r="325" spans="2:9" ht="25.5" customHeight="1" hidden="1" thickBot="1">
      <c r="B325" s="146" t="s">
        <v>138</v>
      </c>
      <c r="C325" s="197" t="s">
        <v>62</v>
      </c>
      <c r="D325" s="156" t="s">
        <v>66</v>
      </c>
      <c r="E325" s="212"/>
      <c r="F325" s="365"/>
      <c r="G325" s="367"/>
      <c r="H325" s="206"/>
      <c r="I325" s="201"/>
    </row>
    <row r="326" spans="2:9" ht="13.5" hidden="1" thickBot="1">
      <c r="B326" s="149"/>
      <c r="C326" s="139"/>
      <c r="D326" s="157" t="s">
        <v>67</v>
      </c>
      <c r="E326" s="213"/>
      <c r="F326" s="366"/>
      <c r="G326" s="368"/>
      <c r="H326" s="207"/>
      <c r="I326" s="202"/>
    </row>
    <row r="327" spans="2:9" ht="13.5" hidden="1" thickBot="1">
      <c r="B327" s="149"/>
      <c r="C327" s="139"/>
      <c r="D327" s="199" t="s">
        <v>68</v>
      </c>
      <c r="E327" s="215"/>
      <c r="F327" s="214"/>
      <c r="G327" s="216"/>
      <c r="H327" s="209" t="s">
        <v>85</v>
      </c>
      <c r="I327" s="203"/>
    </row>
    <row r="328" spans="2:9" ht="13.5" customHeight="1" hidden="1" thickBot="1">
      <c r="B328" s="149"/>
      <c r="C328" s="139"/>
      <c r="D328" s="156" t="s">
        <v>69</v>
      </c>
      <c r="E328" s="213"/>
      <c r="F328" s="222"/>
      <c r="G328" s="219"/>
      <c r="H328" s="206"/>
      <c r="I328" s="201"/>
    </row>
    <row r="329" spans="2:9" ht="12.75">
      <c r="B329" s="178"/>
      <c r="C329" s="179"/>
      <c r="D329" s="180" t="s">
        <v>63</v>
      </c>
      <c r="E329" s="193">
        <f>F329+G329+H329</f>
        <v>52000</v>
      </c>
      <c r="F329" s="182">
        <f>F331+F332+F333</f>
        <v>0</v>
      </c>
      <c r="G329" s="182">
        <f>G331+G332+G333</f>
        <v>32000</v>
      </c>
      <c r="H329" s="181">
        <f>H331+H332+H333</f>
        <v>20000</v>
      </c>
      <c r="I329" s="265"/>
    </row>
    <row r="330" spans="2:9" ht="33.75" customHeight="1">
      <c r="B330" s="327" t="s">
        <v>215</v>
      </c>
      <c r="C330" s="168" t="s">
        <v>62</v>
      </c>
      <c r="D330" s="158" t="s">
        <v>66</v>
      </c>
      <c r="E330" s="165"/>
      <c r="F330" s="164"/>
      <c r="G330" s="164"/>
      <c r="H330" s="164"/>
      <c r="I330" s="257"/>
    </row>
    <row r="331" spans="2:9" ht="12.75">
      <c r="B331" s="327"/>
      <c r="C331" s="170"/>
      <c r="D331" s="158" t="s">
        <v>67</v>
      </c>
      <c r="E331" s="164"/>
      <c r="F331" s="164"/>
      <c r="G331" s="164"/>
      <c r="H331" s="164"/>
      <c r="I331" s="257"/>
    </row>
    <row r="332" spans="2:9" ht="12.75">
      <c r="B332" s="327"/>
      <c r="C332" s="170"/>
      <c r="D332" s="158" t="s">
        <v>68</v>
      </c>
      <c r="E332" s="167">
        <f>F332+G332+H332</f>
        <v>52000</v>
      </c>
      <c r="F332" s="165"/>
      <c r="G332" s="165">
        <v>32000</v>
      </c>
      <c r="H332" s="164">
        <v>20000</v>
      </c>
      <c r="I332" s="257"/>
    </row>
    <row r="333" spans="2:9" ht="13.5" customHeight="1">
      <c r="B333" s="185"/>
      <c r="C333" s="170"/>
      <c r="D333" s="158" t="s">
        <v>69</v>
      </c>
      <c r="E333" s="164"/>
      <c r="F333" s="165"/>
      <c r="G333" s="165"/>
      <c r="H333" s="164"/>
      <c r="I333" s="257"/>
    </row>
    <row r="334" spans="2:9" ht="12.75">
      <c r="B334" s="183"/>
      <c r="C334" s="168"/>
      <c r="D334" s="159" t="s">
        <v>63</v>
      </c>
      <c r="E334" s="167">
        <f>F334+G334+H334</f>
        <v>63840</v>
      </c>
      <c r="F334" s="165">
        <f>F336+F337</f>
        <v>33840</v>
      </c>
      <c r="G334" s="165">
        <f>G336+G337</f>
        <v>0</v>
      </c>
      <c r="H334" s="165">
        <f>H336+H337</f>
        <v>30000</v>
      </c>
      <c r="I334" s="257"/>
    </row>
    <row r="335" spans="2:9" ht="25.5" customHeight="1">
      <c r="B335" s="183" t="s">
        <v>218</v>
      </c>
      <c r="C335" s="168" t="s">
        <v>62</v>
      </c>
      <c r="D335" s="158" t="s">
        <v>66</v>
      </c>
      <c r="E335" s="165"/>
      <c r="F335" s="164"/>
      <c r="G335" s="164"/>
      <c r="H335" s="164"/>
      <c r="I335" s="257"/>
    </row>
    <row r="336" spans="2:9" ht="12.75">
      <c r="B336" s="183" t="s">
        <v>216</v>
      </c>
      <c r="C336" s="170"/>
      <c r="D336" s="158" t="s">
        <v>67</v>
      </c>
      <c r="E336" s="164"/>
      <c r="F336" s="164"/>
      <c r="G336" s="164"/>
      <c r="H336" s="164"/>
      <c r="I336" s="257"/>
    </row>
    <row r="337" spans="2:9" ht="12.75">
      <c r="B337" s="183" t="s">
        <v>217</v>
      </c>
      <c r="C337" s="170"/>
      <c r="D337" s="158" t="s">
        <v>68</v>
      </c>
      <c r="E337" s="167">
        <f>F337+G337+H337</f>
        <v>63840</v>
      </c>
      <c r="F337" s="165">
        <v>33840</v>
      </c>
      <c r="G337" s="165"/>
      <c r="H337" s="164">
        <v>30000</v>
      </c>
      <c r="I337" s="257"/>
    </row>
    <row r="338" spans="2:9" ht="13.5" customHeight="1">
      <c r="B338" s="185"/>
      <c r="C338" s="170"/>
      <c r="D338" s="158" t="s">
        <v>69</v>
      </c>
      <c r="E338" s="164"/>
      <c r="F338" s="165"/>
      <c r="G338" s="165"/>
      <c r="H338" s="164"/>
      <c r="I338" s="257"/>
    </row>
    <row r="339" spans="2:9" ht="12.75" hidden="1">
      <c r="B339" s="183"/>
      <c r="C339" s="168"/>
      <c r="D339" s="159" t="s">
        <v>63</v>
      </c>
      <c r="E339" s="167">
        <f>F339+G339+H339</f>
        <v>0</v>
      </c>
      <c r="F339" s="167">
        <f>F341+F342+F343</f>
        <v>0</v>
      </c>
      <c r="G339" s="167">
        <f>G341+G342+G343</f>
        <v>0</v>
      </c>
      <c r="H339" s="241"/>
      <c r="I339" s="257"/>
    </row>
    <row r="340" spans="2:9" ht="18.75" customHeight="1" hidden="1">
      <c r="B340" s="183" t="s">
        <v>219</v>
      </c>
      <c r="C340" s="168" t="s">
        <v>62</v>
      </c>
      <c r="D340" s="158" t="s">
        <v>66</v>
      </c>
      <c r="E340" s="165"/>
      <c r="F340" s="164"/>
      <c r="G340" s="164"/>
      <c r="H340" s="164"/>
      <c r="I340" s="257"/>
    </row>
    <row r="341" spans="2:9" ht="12.75" hidden="1">
      <c r="B341" s="183"/>
      <c r="C341" s="170"/>
      <c r="D341" s="158" t="s">
        <v>67</v>
      </c>
      <c r="E341" s="164"/>
      <c r="F341" s="164"/>
      <c r="G341" s="164"/>
      <c r="H341" s="164"/>
      <c r="I341" s="257"/>
    </row>
    <row r="342" spans="2:9" ht="12.75" hidden="1">
      <c r="B342" s="183"/>
      <c r="C342" s="170"/>
      <c r="D342" s="158" t="s">
        <v>68</v>
      </c>
      <c r="E342" s="164">
        <f>F342+G342+H342</f>
        <v>0</v>
      </c>
      <c r="F342" s="165"/>
      <c r="G342" s="165"/>
      <c r="H342" s="164"/>
      <c r="I342" s="257"/>
    </row>
    <row r="343" spans="2:9" ht="13.5" customHeight="1" hidden="1">
      <c r="B343" s="185"/>
      <c r="C343" s="170"/>
      <c r="D343" s="158" t="s">
        <v>69</v>
      </c>
      <c r="E343" s="164"/>
      <c r="F343" s="165"/>
      <c r="G343" s="165"/>
      <c r="H343" s="164"/>
      <c r="I343" s="257"/>
    </row>
    <row r="344" spans="2:9" ht="12.75" hidden="1">
      <c r="B344" s="183"/>
      <c r="C344" s="168"/>
      <c r="D344" s="159" t="s">
        <v>63</v>
      </c>
      <c r="E344" s="167">
        <f>F344+G344+H344</f>
        <v>0</v>
      </c>
      <c r="F344" s="165"/>
      <c r="G344" s="165"/>
      <c r="H344" s="164"/>
      <c r="I344" s="257"/>
    </row>
    <row r="345" spans="2:9" ht="25.5" customHeight="1" hidden="1" thickBot="1">
      <c r="B345" s="183" t="s">
        <v>139</v>
      </c>
      <c r="C345" s="168" t="s">
        <v>62</v>
      </c>
      <c r="D345" s="158" t="s">
        <v>66</v>
      </c>
      <c r="E345" s="165"/>
      <c r="F345" s="164"/>
      <c r="G345" s="164"/>
      <c r="H345" s="164"/>
      <c r="I345" s="257"/>
    </row>
    <row r="346" spans="2:9" ht="12.75" hidden="1">
      <c r="B346" s="185"/>
      <c r="C346" s="170"/>
      <c r="D346" s="158" t="s">
        <v>67</v>
      </c>
      <c r="E346" s="164"/>
      <c r="F346" s="164"/>
      <c r="G346" s="164"/>
      <c r="H346" s="164"/>
      <c r="I346" s="257"/>
    </row>
    <row r="347" spans="2:9" ht="12.75" hidden="1">
      <c r="B347" s="185"/>
      <c r="C347" s="170"/>
      <c r="D347" s="158" t="s">
        <v>68</v>
      </c>
      <c r="E347" s="164"/>
      <c r="F347" s="165"/>
      <c r="G347" s="165"/>
      <c r="H347" s="164"/>
      <c r="I347" s="257"/>
    </row>
    <row r="348" spans="2:9" ht="13.5" customHeight="1" hidden="1" thickBot="1">
      <c r="B348" s="185"/>
      <c r="C348" s="170"/>
      <c r="D348" s="158" t="s">
        <v>69</v>
      </c>
      <c r="E348" s="164"/>
      <c r="F348" s="165"/>
      <c r="G348" s="165"/>
      <c r="H348" s="164"/>
      <c r="I348" s="257"/>
    </row>
    <row r="349" spans="2:9" ht="12.75">
      <c r="B349" s="183"/>
      <c r="C349" s="168"/>
      <c r="D349" s="159" t="s">
        <v>63</v>
      </c>
      <c r="E349" s="167">
        <f>F349+G349+H349</f>
        <v>402500</v>
      </c>
      <c r="F349" s="167">
        <f>F351+F352+F353</f>
        <v>0</v>
      </c>
      <c r="G349" s="167">
        <f>G351+G352+G353</f>
        <v>287500</v>
      </c>
      <c r="H349" s="167">
        <f>H351+H352+H353</f>
        <v>115000</v>
      </c>
      <c r="I349" s="257"/>
    </row>
    <row r="350" spans="2:9" ht="25.5" customHeight="1">
      <c r="B350" s="183" t="s">
        <v>258</v>
      </c>
      <c r="C350" s="168" t="s">
        <v>62</v>
      </c>
      <c r="D350" s="158" t="s">
        <v>66</v>
      </c>
      <c r="E350" s="165"/>
      <c r="F350" s="164"/>
      <c r="G350" s="164"/>
      <c r="H350" s="164"/>
      <c r="I350" s="257"/>
    </row>
    <row r="351" spans="2:9" ht="12.75">
      <c r="B351" s="185"/>
      <c r="C351" s="170"/>
      <c r="D351" s="158" t="s">
        <v>67</v>
      </c>
      <c r="E351" s="164"/>
      <c r="F351" s="164"/>
      <c r="G351" s="164"/>
      <c r="H351" s="164"/>
      <c r="I351" s="257"/>
    </row>
    <row r="352" spans="2:9" ht="12.75">
      <c r="B352" s="185"/>
      <c r="C352" s="170"/>
      <c r="D352" s="158" t="s">
        <v>68</v>
      </c>
      <c r="E352" s="167">
        <f>F352+G352+H352</f>
        <v>402500</v>
      </c>
      <c r="F352" s="165">
        <v>0</v>
      </c>
      <c r="G352" s="165">
        <f>230000+57500</f>
        <v>287500</v>
      </c>
      <c r="H352" s="165">
        <v>115000</v>
      </c>
      <c r="I352" s="257"/>
    </row>
    <row r="353" spans="2:9" ht="12.75" customHeight="1">
      <c r="B353" s="185"/>
      <c r="C353" s="170"/>
      <c r="D353" s="158" t="s">
        <v>69</v>
      </c>
      <c r="E353" s="164"/>
      <c r="F353" s="165"/>
      <c r="G353" s="165"/>
      <c r="H353" s="164"/>
      <c r="I353" s="257"/>
    </row>
    <row r="354" spans="2:9" ht="13.5" customHeight="1" hidden="1">
      <c r="B354" s="327" t="s">
        <v>220</v>
      </c>
      <c r="C354" s="168"/>
      <c r="D354" s="159" t="s">
        <v>63</v>
      </c>
      <c r="E354" s="167">
        <f>F354+G354+H354</f>
        <v>0</v>
      </c>
      <c r="F354" s="165"/>
      <c r="G354" s="165"/>
      <c r="H354" s="164"/>
      <c r="I354" s="257"/>
    </row>
    <row r="355" spans="2:9" ht="49.5" customHeight="1" hidden="1">
      <c r="B355" s="327"/>
      <c r="C355" s="168" t="s">
        <v>62</v>
      </c>
      <c r="D355" s="158" t="s">
        <v>66</v>
      </c>
      <c r="E355" s="165"/>
      <c r="F355" s="164"/>
      <c r="G355" s="164"/>
      <c r="H355" s="164"/>
      <c r="I355" s="257"/>
    </row>
    <row r="356" spans="2:9" ht="12.75" hidden="1">
      <c r="B356" s="327"/>
      <c r="C356" s="170"/>
      <c r="D356" s="158" t="s">
        <v>67</v>
      </c>
      <c r="E356" s="164"/>
      <c r="F356" s="164"/>
      <c r="G356" s="164"/>
      <c r="H356" s="164"/>
      <c r="I356" s="257"/>
    </row>
    <row r="357" spans="2:9" ht="12" customHeight="1" hidden="1">
      <c r="B357" s="327"/>
      <c r="C357" s="170"/>
      <c r="D357" s="158" t="s">
        <v>68</v>
      </c>
      <c r="E357" s="164"/>
      <c r="F357" s="165"/>
      <c r="G357" s="165"/>
      <c r="H357" s="164"/>
      <c r="I357" s="257"/>
    </row>
    <row r="358" spans="2:9" ht="13.5" customHeight="1" hidden="1">
      <c r="B358" s="185"/>
      <c r="C358" s="170"/>
      <c r="D358" s="158" t="s">
        <v>69</v>
      </c>
      <c r="E358" s="164"/>
      <c r="F358" s="165"/>
      <c r="G358" s="165"/>
      <c r="H358" s="164"/>
      <c r="I358" s="257"/>
    </row>
    <row r="359" spans="2:9" ht="38.25" customHeight="1">
      <c r="B359" s="183" t="s">
        <v>259</v>
      </c>
      <c r="C359" s="168"/>
      <c r="D359" s="159" t="s">
        <v>63</v>
      </c>
      <c r="E359" s="167">
        <f>F359+G359+H359</f>
        <v>20000</v>
      </c>
      <c r="F359" s="165"/>
      <c r="G359" s="165">
        <f>G360</f>
        <v>0</v>
      </c>
      <c r="H359" s="164">
        <f>H360</f>
        <v>20000</v>
      </c>
      <c r="I359" s="257"/>
    </row>
    <row r="360" spans="2:9" ht="24" customHeight="1" thickBot="1">
      <c r="B360" s="248"/>
      <c r="C360" s="233" t="s">
        <v>62</v>
      </c>
      <c r="D360" s="239" t="s">
        <v>68</v>
      </c>
      <c r="E360" s="189">
        <f>F360+G360+H360</f>
        <v>20000</v>
      </c>
      <c r="F360" s="169"/>
      <c r="G360" s="169"/>
      <c r="H360" s="171">
        <v>20000</v>
      </c>
      <c r="I360" s="264"/>
    </row>
    <row r="361" spans="2:9" ht="12.75" customHeight="1">
      <c r="B361" s="339" t="s">
        <v>238</v>
      </c>
      <c r="C361" s="179"/>
      <c r="D361" s="180" t="s">
        <v>63</v>
      </c>
      <c r="E361" s="193">
        <f>F361+G361+H361</f>
        <v>538340</v>
      </c>
      <c r="F361" s="194">
        <f>F363+F364+F365</f>
        <v>33840</v>
      </c>
      <c r="G361" s="194">
        <f>G363+G364+G365</f>
        <v>319500</v>
      </c>
      <c r="H361" s="194">
        <f>H363+H364+H365</f>
        <v>185000</v>
      </c>
      <c r="I361" s="265"/>
    </row>
    <row r="362" spans="2:9" ht="12.75">
      <c r="B362" s="327"/>
      <c r="C362" s="168"/>
      <c r="D362" s="158" t="s">
        <v>66</v>
      </c>
      <c r="E362" s="165"/>
      <c r="F362" s="164"/>
      <c r="G362" s="164"/>
      <c r="H362" s="164"/>
      <c r="I362" s="257"/>
    </row>
    <row r="363" spans="2:9" ht="12.75">
      <c r="B363" s="327"/>
      <c r="C363" s="168"/>
      <c r="D363" s="158" t="s">
        <v>67</v>
      </c>
      <c r="E363" s="167">
        <f>F363+G363+H363</f>
        <v>0</v>
      </c>
      <c r="F363" s="165"/>
      <c r="G363" s="165"/>
      <c r="H363" s="164"/>
      <c r="I363" s="257"/>
    </row>
    <row r="364" spans="2:9" ht="12.75">
      <c r="B364" s="327"/>
      <c r="C364" s="168"/>
      <c r="D364" s="158" t="s">
        <v>68</v>
      </c>
      <c r="E364" s="167">
        <f>F364+G364+H364</f>
        <v>538340</v>
      </c>
      <c r="F364" s="165">
        <f>F357+F352+F347+F342+F337+F332+F327+F360</f>
        <v>33840</v>
      </c>
      <c r="G364" s="165">
        <f>G357+G352+G347+G342+G337+G332+G327+G360</f>
        <v>319500</v>
      </c>
      <c r="H364" s="165">
        <f>H357+H352+H347+H342+H337+H332+H327+H360</f>
        <v>185000</v>
      </c>
      <c r="I364" s="257"/>
    </row>
    <row r="365" spans="2:9" ht="13.5" thickBot="1">
      <c r="B365" s="340"/>
      <c r="C365" s="266"/>
      <c r="D365" s="166" t="s">
        <v>69</v>
      </c>
      <c r="E365" s="195">
        <f>F365+G365+H365</f>
        <v>0</v>
      </c>
      <c r="F365" s="186"/>
      <c r="G365" s="186"/>
      <c r="H365" s="187"/>
      <c r="I365" s="261"/>
    </row>
    <row r="366" spans="2:9" ht="12.75">
      <c r="B366" s="343" t="s">
        <v>221</v>
      </c>
      <c r="C366" s="344"/>
      <c r="D366" s="344"/>
      <c r="E366" s="344"/>
      <c r="F366" s="344"/>
      <c r="G366" s="344"/>
      <c r="H366" s="344"/>
      <c r="I366" s="345"/>
    </row>
    <row r="367" spans="2:9" ht="12" customHeight="1" thickBot="1">
      <c r="B367" s="315"/>
      <c r="C367" s="316"/>
      <c r="D367" s="316"/>
      <c r="E367" s="316"/>
      <c r="F367" s="316"/>
      <c r="G367" s="316"/>
      <c r="H367" s="316"/>
      <c r="I367" s="317"/>
    </row>
    <row r="368" spans="2:9" ht="21" customHeight="1" hidden="1" thickBot="1">
      <c r="B368" s="143"/>
      <c r="C368" s="196"/>
      <c r="D368" s="192" t="s">
        <v>63</v>
      </c>
      <c r="E368" s="210">
        <f>F368+G368+H368</f>
        <v>0</v>
      </c>
      <c r="F368" s="220"/>
      <c r="G368" s="221"/>
      <c r="H368" s="211"/>
      <c r="I368" s="203"/>
    </row>
    <row r="369" spans="2:9" ht="44.25" customHeight="1" hidden="1" thickBot="1">
      <c r="B369" s="146" t="s">
        <v>140</v>
      </c>
      <c r="C369" s="197" t="s">
        <v>62</v>
      </c>
      <c r="D369" s="156" t="s">
        <v>66</v>
      </c>
      <c r="E369" s="212"/>
      <c r="F369" s="206"/>
      <c r="G369" s="206"/>
      <c r="H369" s="206"/>
      <c r="I369" s="201"/>
    </row>
    <row r="370" spans="2:9" ht="13.5" hidden="1" thickBot="1">
      <c r="B370" s="149"/>
      <c r="C370" s="149"/>
      <c r="D370" s="158" t="s">
        <v>67</v>
      </c>
      <c r="E370" s="165">
        <f>F370+G370+H370</f>
        <v>0</v>
      </c>
      <c r="F370" s="164"/>
      <c r="G370" s="164"/>
      <c r="H370" s="164"/>
      <c r="I370" s="202"/>
    </row>
    <row r="371" spans="2:9" ht="13.5" hidden="1" thickBot="1">
      <c r="B371" s="149"/>
      <c r="C371" s="139"/>
      <c r="D371" s="157" t="s">
        <v>68</v>
      </c>
      <c r="E371" s="191">
        <f>F371+G371+H371</f>
        <v>0</v>
      </c>
      <c r="F371" s="217"/>
      <c r="G371" s="218"/>
      <c r="H371" s="207"/>
      <c r="I371" s="203"/>
    </row>
    <row r="372" spans="2:9" ht="13.5" customHeight="1" hidden="1" thickBot="1">
      <c r="B372" s="148"/>
      <c r="C372" s="140"/>
      <c r="D372" s="199" t="s">
        <v>69</v>
      </c>
      <c r="E372" s="208">
        <f>F372+G372+H372</f>
        <v>0</v>
      </c>
      <c r="F372" s="214"/>
      <c r="G372" s="216"/>
      <c r="H372" s="209"/>
      <c r="I372" s="203"/>
    </row>
    <row r="373" spans="2:9" ht="13.5" hidden="1" thickBot="1">
      <c r="B373" s="143"/>
      <c r="C373" s="196"/>
      <c r="D373" s="192" t="s">
        <v>63</v>
      </c>
      <c r="E373" s="210">
        <f>F373+G373+H373</f>
        <v>0</v>
      </c>
      <c r="F373" s="220"/>
      <c r="G373" s="221">
        <f>G376</f>
        <v>0</v>
      </c>
      <c r="H373" s="211"/>
      <c r="I373" s="203"/>
    </row>
    <row r="374" spans="2:9" ht="25.5" customHeight="1" hidden="1" thickBot="1">
      <c r="B374" s="146" t="s">
        <v>141</v>
      </c>
      <c r="C374" s="197" t="s">
        <v>62</v>
      </c>
      <c r="D374" s="156" t="s">
        <v>66</v>
      </c>
      <c r="E374" s="212"/>
      <c r="F374" s="206"/>
      <c r="G374" s="206"/>
      <c r="H374" s="206"/>
      <c r="I374" s="201"/>
    </row>
    <row r="375" spans="2:9" ht="13.5" hidden="1" thickBot="1">
      <c r="B375" s="149"/>
      <c r="C375" s="149"/>
      <c r="D375" s="158" t="s">
        <v>67</v>
      </c>
      <c r="E375" s="165">
        <f>F375+G375+H375</f>
        <v>0</v>
      </c>
      <c r="F375" s="164"/>
      <c r="G375" s="164"/>
      <c r="H375" s="164"/>
      <c r="I375" s="202"/>
    </row>
    <row r="376" spans="2:9" ht="13.5" hidden="1" thickBot="1">
      <c r="B376" s="149"/>
      <c r="C376" s="139"/>
      <c r="D376" s="157" t="s">
        <v>68</v>
      </c>
      <c r="E376" s="191">
        <f>F376+G376+H376</f>
        <v>0</v>
      </c>
      <c r="F376" s="217"/>
      <c r="G376" s="218"/>
      <c r="H376" s="207"/>
      <c r="I376" s="203"/>
    </row>
    <row r="377" spans="2:9" ht="13.5" customHeight="1" hidden="1" thickBot="1">
      <c r="B377" s="148"/>
      <c r="C377" s="140"/>
      <c r="D377" s="199" t="s">
        <v>69</v>
      </c>
      <c r="E377" s="208">
        <f>F377+G377+H377</f>
        <v>0</v>
      </c>
      <c r="F377" s="214"/>
      <c r="G377" s="216"/>
      <c r="H377" s="209"/>
      <c r="I377" s="203"/>
    </row>
    <row r="378" spans="2:9" ht="0.75" customHeight="1" hidden="1" thickBot="1">
      <c r="B378" s="143"/>
      <c r="C378" s="196"/>
      <c r="D378" s="192" t="s">
        <v>63</v>
      </c>
      <c r="E378" s="210">
        <f>F378+G378+H378</f>
        <v>0</v>
      </c>
      <c r="F378" s="220"/>
      <c r="G378" s="221"/>
      <c r="H378" s="211"/>
      <c r="I378" s="203"/>
    </row>
    <row r="379" spans="2:9" ht="25.5" customHeight="1" hidden="1" thickBot="1">
      <c r="B379" s="146" t="s">
        <v>142</v>
      </c>
      <c r="C379" s="197" t="s">
        <v>62</v>
      </c>
      <c r="D379" s="156" t="s">
        <v>66</v>
      </c>
      <c r="E379" s="212"/>
      <c r="F379" s="206"/>
      <c r="G379" s="206"/>
      <c r="H379" s="206"/>
      <c r="I379" s="201"/>
    </row>
    <row r="380" spans="2:9" ht="13.5" hidden="1" thickBot="1">
      <c r="B380" s="146"/>
      <c r="C380" s="149"/>
      <c r="D380" s="158" t="s">
        <v>67</v>
      </c>
      <c r="E380" s="165">
        <f>F380+G380+H380</f>
        <v>0</v>
      </c>
      <c r="F380" s="164"/>
      <c r="G380" s="164"/>
      <c r="H380" s="164"/>
      <c r="I380" s="202"/>
    </row>
    <row r="381" spans="2:9" ht="13.5" hidden="1" thickBot="1">
      <c r="B381" s="149"/>
      <c r="C381" s="139"/>
      <c r="D381" s="157" t="s">
        <v>68</v>
      </c>
      <c r="E381" s="191">
        <f>F381+G381+H381</f>
        <v>0</v>
      </c>
      <c r="F381" s="217"/>
      <c r="G381" s="218"/>
      <c r="H381" s="207"/>
      <c r="I381" s="203"/>
    </row>
    <row r="382" spans="2:9" ht="13.5" hidden="1" thickBot="1">
      <c r="B382" s="149"/>
      <c r="C382" s="139"/>
      <c r="D382" s="199" t="s">
        <v>69</v>
      </c>
      <c r="E382" s="208">
        <f>F382+G382+H382</f>
        <v>0</v>
      </c>
      <c r="F382" s="214"/>
      <c r="G382" s="216"/>
      <c r="H382" s="209"/>
      <c r="I382" s="203"/>
    </row>
    <row r="383" spans="2:9" ht="0.75" customHeight="1" hidden="1" thickBot="1">
      <c r="B383" s="149"/>
      <c r="C383" s="139"/>
      <c r="D383" s="155"/>
      <c r="E383" s="213"/>
      <c r="F383" s="222"/>
      <c r="G383" s="219"/>
      <c r="H383" s="206"/>
      <c r="I383" s="201"/>
    </row>
    <row r="384" spans="2:9" ht="24.75" customHeight="1" hidden="1">
      <c r="B384" s="339" t="s">
        <v>230</v>
      </c>
      <c r="C384" s="179" t="s">
        <v>62</v>
      </c>
      <c r="D384" s="179"/>
      <c r="E384" s="193"/>
      <c r="F384" s="181"/>
      <c r="G384" s="181"/>
      <c r="H384" s="181"/>
      <c r="I384" s="265"/>
    </row>
    <row r="385" spans="2:9" ht="12.75" hidden="1">
      <c r="B385" s="327"/>
      <c r="C385" s="168"/>
      <c r="D385" s="168"/>
      <c r="E385" s="167"/>
      <c r="F385" s="164"/>
      <c r="G385" s="164"/>
      <c r="H385" s="164"/>
      <c r="I385" s="257"/>
    </row>
    <row r="386" spans="2:9" ht="25.5" customHeight="1" hidden="1" thickBot="1">
      <c r="B386" s="183"/>
      <c r="C386" s="168"/>
      <c r="D386" s="159" t="s">
        <v>63</v>
      </c>
      <c r="E386" s="167">
        <f>F386+G386+H386</f>
        <v>0</v>
      </c>
      <c r="F386" s="167"/>
      <c r="G386" s="167"/>
      <c r="H386" s="241"/>
      <c r="I386" s="257"/>
    </row>
    <row r="387" spans="2:9" ht="25.5" customHeight="1" hidden="1" thickBot="1">
      <c r="B387" s="183" t="s">
        <v>143</v>
      </c>
      <c r="C387" s="168" t="s">
        <v>62</v>
      </c>
      <c r="D387" s="158" t="s">
        <v>66</v>
      </c>
      <c r="E387" s="167"/>
      <c r="F387" s="164"/>
      <c r="G387" s="164"/>
      <c r="H387" s="164"/>
      <c r="I387" s="257"/>
    </row>
    <row r="388" spans="2:9" ht="12.75" hidden="1">
      <c r="B388" s="183"/>
      <c r="C388" s="170"/>
      <c r="D388" s="158" t="s">
        <v>67</v>
      </c>
      <c r="E388" s="167">
        <f>F388+G388+H388</f>
        <v>0</v>
      </c>
      <c r="F388" s="164"/>
      <c r="G388" s="164"/>
      <c r="H388" s="164"/>
      <c r="I388" s="257"/>
    </row>
    <row r="389" spans="2:9" ht="12.75" hidden="1">
      <c r="B389" s="185"/>
      <c r="C389" s="170"/>
      <c r="D389" s="158" t="s">
        <v>68</v>
      </c>
      <c r="E389" s="167">
        <f>F389+G389+H389</f>
        <v>0</v>
      </c>
      <c r="F389" s="165"/>
      <c r="G389" s="165"/>
      <c r="H389" s="164"/>
      <c r="I389" s="257"/>
    </row>
    <row r="390" spans="2:9" ht="12" customHeight="1" hidden="1" thickBot="1">
      <c r="B390" s="185"/>
      <c r="C390" s="170"/>
      <c r="D390" s="158" t="s">
        <v>69</v>
      </c>
      <c r="E390" s="167">
        <f>F390+G390+H390</f>
        <v>0</v>
      </c>
      <c r="F390" s="165"/>
      <c r="G390" s="165"/>
      <c r="H390" s="164"/>
      <c r="I390" s="257"/>
    </row>
    <row r="391" spans="2:9" ht="0.75" customHeight="1" hidden="1" thickBot="1">
      <c r="B391" s="183"/>
      <c r="C391" s="168"/>
      <c r="D391" s="159" t="s">
        <v>63</v>
      </c>
      <c r="E391" s="167">
        <f>F391+G391+H391</f>
        <v>0</v>
      </c>
      <c r="F391" s="167"/>
      <c r="G391" s="167"/>
      <c r="H391" s="241"/>
      <c r="I391" s="257"/>
    </row>
    <row r="392" spans="2:9" ht="25.5" customHeight="1" hidden="1" thickBot="1">
      <c r="B392" s="183" t="s">
        <v>144</v>
      </c>
      <c r="C392" s="168" t="s">
        <v>62</v>
      </c>
      <c r="D392" s="158" t="s">
        <v>66</v>
      </c>
      <c r="E392" s="167"/>
      <c r="F392" s="164"/>
      <c r="G392" s="164"/>
      <c r="H392" s="164"/>
      <c r="I392" s="257"/>
    </row>
    <row r="393" spans="2:9" ht="15.75" customHeight="1" hidden="1" thickBot="1">
      <c r="B393" s="183"/>
      <c r="C393" s="170"/>
      <c r="D393" s="158" t="s">
        <v>67</v>
      </c>
      <c r="E393" s="167">
        <f>F393+G393+H393</f>
        <v>0</v>
      </c>
      <c r="F393" s="164"/>
      <c r="G393" s="164"/>
      <c r="H393" s="164"/>
      <c r="I393" s="257"/>
    </row>
    <row r="394" spans="2:9" ht="16.5" customHeight="1" hidden="1" thickBot="1">
      <c r="B394" s="185"/>
      <c r="C394" s="170"/>
      <c r="D394" s="158" t="s">
        <v>68</v>
      </c>
      <c r="E394" s="167">
        <f>F394+G394+H394</f>
        <v>0</v>
      </c>
      <c r="F394" s="165"/>
      <c r="G394" s="165"/>
      <c r="H394" s="164"/>
      <c r="I394" s="257"/>
    </row>
    <row r="395" spans="2:9" ht="13.5" customHeight="1" hidden="1" thickBot="1">
      <c r="B395" s="185"/>
      <c r="C395" s="170"/>
      <c r="D395" s="158" t="s">
        <v>69</v>
      </c>
      <c r="E395" s="167">
        <f>F395+G395+H395</f>
        <v>0</v>
      </c>
      <c r="F395" s="165"/>
      <c r="G395" s="165"/>
      <c r="H395" s="164"/>
      <c r="I395" s="257"/>
    </row>
    <row r="396" spans="2:9" ht="12.75" hidden="1">
      <c r="B396" s="183"/>
      <c r="C396" s="168"/>
      <c r="D396" s="159" t="s">
        <v>63</v>
      </c>
      <c r="E396" s="167">
        <f>F396+G396+H396</f>
        <v>0</v>
      </c>
      <c r="F396" s="167"/>
      <c r="G396" s="167"/>
      <c r="H396" s="241"/>
      <c r="I396" s="257"/>
    </row>
    <row r="397" spans="2:9" ht="12.75" customHeight="1" hidden="1" thickBot="1">
      <c r="B397" s="183" t="s">
        <v>145</v>
      </c>
      <c r="C397" s="168" t="s">
        <v>62</v>
      </c>
      <c r="D397" s="158" t="s">
        <v>66</v>
      </c>
      <c r="E397" s="167"/>
      <c r="F397" s="164"/>
      <c r="G397" s="164"/>
      <c r="H397" s="164"/>
      <c r="I397" s="257"/>
    </row>
    <row r="398" spans="2:9" ht="12.75" hidden="1">
      <c r="B398" s="185"/>
      <c r="C398" s="170"/>
      <c r="D398" s="158" t="s">
        <v>67</v>
      </c>
      <c r="E398" s="167">
        <f>F398+G398+H398</f>
        <v>0</v>
      </c>
      <c r="F398" s="164"/>
      <c r="G398" s="164"/>
      <c r="H398" s="164"/>
      <c r="I398" s="257"/>
    </row>
    <row r="399" spans="2:9" ht="12.75" hidden="1">
      <c r="B399" s="185"/>
      <c r="C399" s="170"/>
      <c r="D399" s="158" t="s">
        <v>68</v>
      </c>
      <c r="E399" s="167">
        <f>F399+G399+H399</f>
        <v>0</v>
      </c>
      <c r="F399" s="165"/>
      <c r="G399" s="165"/>
      <c r="H399" s="164"/>
      <c r="I399" s="257"/>
    </row>
    <row r="400" spans="2:9" ht="13.5" customHeight="1" hidden="1" thickBot="1">
      <c r="B400" s="185"/>
      <c r="C400" s="170"/>
      <c r="D400" s="158" t="s">
        <v>69</v>
      </c>
      <c r="E400" s="167">
        <f>F400+G400+H400</f>
        <v>0</v>
      </c>
      <c r="F400" s="165"/>
      <c r="G400" s="165"/>
      <c r="H400" s="164"/>
      <c r="I400" s="257"/>
    </row>
    <row r="401" spans="2:9" ht="12.75" hidden="1">
      <c r="B401" s="183"/>
      <c r="C401" s="168"/>
      <c r="D401" s="159" t="s">
        <v>63</v>
      </c>
      <c r="E401" s="167">
        <f>F401+G401+H401</f>
        <v>0</v>
      </c>
      <c r="F401" s="167"/>
      <c r="G401" s="167"/>
      <c r="H401" s="241"/>
      <c r="I401" s="257"/>
    </row>
    <row r="402" spans="2:9" ht="25.5" customHeight="1" hidden="1" thickBot="1">
      <c r="B402" s="183" t="s">
        <v>146</v>
      </c>
      <c r="C402" s="168" t="s">
        <v>62</v>
      </c>
      <c r="D402" s="158" t="s">
        <v>66</v>
      </c>
      <c r="E402" s="167"/>
      <c r="F402" s="164"/>
      <c r="G402" s="164"/>
      <c r="H402" s="164"/>
      <c r="I402" s="257"/>
    </row>
    <row r="403" spans="2:9" ht="12.75" hidden="1">
      <c r="B403" s="183"/>
      <c r="C403" s="170"/>
      <c r="D403" s="158" t="s">
        <v>67</v>
      </c>
      <c r="E403" s="167">
        <f>F403+G403+H403</f>
        <v>0</v>
      </c>
      <c r="F403" s="164"/>
      <c r="G403" s="164"/>
      <c r="H403" s="164"/>
      <c r="I403" s="257"/>
    </row>
    <row r="404" spans="2:9" ht="12.75" hidden="1">
      <c r="B404" s="185"/>
      <c r="C404" s="170"/>
      <c r="D404" s="158" t="s">
        <v>68</v>
      </c>
      <c r="E404" s="167">
        <f>F404+G404+H404</f>
        <v>0</v>
      </c>
      <c r="F404" s="165"/>
      <c r="G404" s="165"/>
      <c r="H404" s="164"/>
      <c r="I404" s="257"/>
    </row>
    <row r="405" spans="2:9" ht="13.5" customHeight="1" hidden="1" thickBot="1">
      <c r="B405" s="185"/>
      <c r="C405" s="170"/>
      <c r="D405" s="158" t="s">
        <v>69</v>
      </c>
      <c r="E405" s="167">
        <f>F405+G405+H405</f>
        <v>0</v>
      </c>
      <c r="F405" s="165"/>
      <c r="G405" s="165"/>
      <c r="H405" s="164"/>
      <c r="I405" s="257"/>
    </row>
    <row r="406" spans="2:9" ht="12.75" customHeight="1" hidden="1" thickBot="1">
      <c r="B406" s="327" t="s">
        <v>147</v>
      </c>
      <c r="C406" s="168" t="s">
        <v>148</v>
      </c>
      <c r="D406" s="159" t="s">
        <v>63</v>
      </c>
      <c r="E406" s="167">
        <f>F406+G406+H406</f>
        <v>0</v>
      </c>
      <c r="F406" s="167"/>
      <c r="G406" s="167"/>
      <c r="H406" s="241"/>
      <c r="I406" s="257"/>
    </row>
    <row r="407" spans="2:9" ht="12.75" customHeight="1" hidden="1" thickBot="1">
      <c r="B407" s="327"/>
      <c r="C407" s="168"/>
      <c r="D407" s="158" t="s">
        <v>66</v>
      </c>
      <c r="E407" s="167"/>
      <c r="F407" s="165"/>
      <c r="G407" s="165"/>
      <c r="H407" s="164"/>
      <c r="I407" s="257"/>
    </row>
    <row r="408" spans="2:9" ht="12.75" customHeight="1" hidden="1" thickBot="1">
      <c r="B408" s="327"/>
      <c r="C408" s="168"/>
      <c r="D408" s="158" t="s">
        <v>67</v>
      </c>
      <c r="E408" s="167">
        <f>F408+G408+H408</f>
        <v>0</v>
      </c>
      <c r="F408" s="165"/>
      <c r="G408" s="165"/>
      <c r="H408" s="164"/>
      <c r="I408" s="257"/>
    </row>
    <row r="409" spans="2:9" ht="12.75" customHeight="1" hidden="1" thickBot="1">
      <c r="B409" s="327"/>
      <c r="C409" s="168"/>
      <c r="D409" s="158" t="s">
        <v>68</v>
      </c>
      <c r="E409" s="167">
        <f>F409+G409+H409</f>
        <v>0</v>
      </c>
      <c r="F409" s="165"/>
      <c r="G409" s="165"/>
      <c r="H409" s="164"/>
      <c r="I409" s="257"/>
    </row>
    <row r="410" spans="2:9" ht="12.75" hidden="1">
      <c r="B410" s="327"/>
      <c r="C410" s="168"/>
      <c r="D410" s="158" t="s">
        <v>69</v>
      </c>
      <c r="E410" s="167">
        <f>F410+G410+H410</f>
        <v>0</v>
      </c>
      <c r="F410" s="165"/>
      <c r="G410" s="164"/>
      <c r="H410" s="164"/>
      <c r="I410" s="244"/>
    </row>
    <row r="411" spans="2:9" ht="26.25" customHeight="1" hidden="1" thickBot="1">
      <c r="B411" s="183"/>
      <c r="C411" s="168"/>
      <c r="D411" s="159" t="s">
        <v>63</v>
      </c>
      <c r="E411" s="167">
        <f>F411+G411+H411</f>
        <v>182000</v>
      </c>
      <c r="F411" s="241">
        <f>F413+F414</f>
        <v>182000</v>
      </c>
      <c r="G411" s="241">
        <f>G413+G414</f>
        <v>0</v>
      </c>
      <c r="H411" s="241"/>
      <c r="I411" s="257"/>
    </row>
    <row r="412" spans="2:9" ht="51" customHeight="1" hidden="1" thickBot="1">
      <c r="B412" s="183" t="s">
        <v>149</v>
      </c>
      <c r="C412" s="168" t="s">
        <v>148</v>
      </c>
      <c r="D412" s="158" t="s">
        <v>66</v>
      </c>
      <c r="E412" s="167"/>
      <c r="F412" s="164"/>
      <c r="G412" s="164"/>
      <c r="H412" s="164"/>
      <c r="I412" s="257"/>
    </row>
    <row r="413" spans="2:9" ht="25.5" customHeight="1" hidden="1" thickBot="1">
      <c r="B413" s="183" t="s">
        <v>150</v>
      </c>
      <c r="C413" s="170"/>
      <c r="D413" s="158" t="s">
        <v>67</v>
      </c>
      <c r="E413" s="167">
        <f>F413+G413+H413</f>
        <v>0</v>
      </c>
      <c r="F413" s="164"/>
      <c r="G413" s="164"/>
      <c r="H413" s="164"/>
      <c r="I413" s="257"/>
    </row>
    <row r="414" spans="2:9" ht="25.5" customHeight="1" hidden="1" thickBot="1">
      <c r="B414" s="183" t="s">
        <v>151</v>
      </c>
      <c r="C414" s="170"/>
      <c r="D414" s="158" t="s">
        <v>68</v>
      </c>
      <c r="E414" s="167">
        <f>F414+G414+H414</f>
        <v>182000</v>
      </c>
      <c r="F414" s="164">
        <v>182000</v>
      </c>
      <c r="G414" s="164"/>
      <c r="H414" s="164"/>
      <c r="I414" s="257"/>
    </row>
    <row r="415" spans="2:9" ht="51" customHeight="1" hidden="1" thickBot="1">
      <c r="B415" s="183" t="s">
        <v>152</v>
      </c>
      <c r="C415" s="170"/>
      <c r="D415" s="158" t="s">
        <v>69</v>
      </c>
      <c r="E415" s="167">
        <f>F415+G415+H415</f>
        <v>0</v>
      </c>
      <c r="F415" s="165"/>
      <c r="G415" s="165"/>
      <c r="H415" s="164"/>
      <c r="I415" s="257"/>
    </row>
    <row r="416" spans="2:9" ht="0.75" customHeight="1" hidden="1" thickBot="1">
      <c r="B416" s="185"/>
      <c r="C416" s="170"/>
      <c r="D416" s="170"/>
      <c r="E416" s="241"/>
      <c r="F416" s="165"/>
      <c r="G416" s="165"/>
      <c r="H416" s="164"/>
      <c r="I416" s="257"/>
    </row>
    <row r="417" spans="2:9" ht="12.75" hidden="1">
      <c r="B417" s="183"/>
      <c r="C417" s="168"/>
      <c r="D417" s="159" t="s">
        <v>63</v>
      </c>
      <c r="E417" s="167">
        <f>F417+G417+H417</f>
        <v>0</v>
      </c>
      <c r="F417" s="167"/>
      <c r="G417" s="167"/>
      <c r="H417" s="241"/>
      <c r="I417" s="257"/>
    </row>
    <row r="418" spans="2:9" ht="25.5" customHeight="1" hidden="1" thickBot="1">
      <c r="B418" s="183" t="s">
        <v>153</v>
      </c>
      <c r="C418" s="168" t="s">
        <v>62</v>
      </c>
      <c r="D418" s="158" t="s">
        <v>66</v>
      </c>
      <c r="E418" s="167"/>
      <c r="F418" s="164"/>
      <c r="G418" s="164"/>
      <c r="H418" s="164"/>
      <c r="I418" s="257"/>
    </row>
    <row r="419" spans="2:9" ht="12.75" hidden="1">
      <c r="B419" s="185"/>
      <c r="C419" s="170"/>
      <c r="D419" s="158" t="s">
        <v>67</v>
      </c>
      <c r="E419" s="167">
        <f>F419+G419+H419</f>
        <v>0</v>
      </c>
      <c r="F419" s="164"/>
      <c r="G419" s="164"/>
      <c r="H419" s="164"/>
      <c r="I419" s="257"/>
    </row>
    <row r="420" spans="2:9" ht="12.75" hidden="1">
      <c r="B420" s="185"/>
      <c r="C420" s="170"/>
      <c r="D420" s="158" t="s">
        <v>68</v>
      </c>
      <c r="E420" s="167">
        <f>F420+G420+H420</f>
        <v>0</v>
      </c>
      <c r="F420" s="165"/>
      <c r="G420" s="165"/>
      <c r="H420" s="164"/>
      <c r="I420" s="257"/>
    </row>
    <row r="421" spans="2:9" ht="13.5" customHeight="1" hidden="1" thickBot="1">
      <c r="B421" s="185"/>
      <c r="C421" s="170"/>
      <c r="D421" s="158" t="s">
        <v>69</v>
      </c>
      <c r="E421" s="167">
        <f>F421+G421+H421</f>
        <v>0</v>
      </c>
      <c r="F421" s="165"/>
      <c r="G421" s="165"/>
      <c r="H421" s="164"/>
      <c r="I421" s="257"/>
    </row>
    <row r="422" spans="2:9" ht="38.25" customHeight="1" hidden="1" thickBot="1">
      <c r="B422" s="327" t="s">
        <v>154</v>
      </c>
      <c r="C422" s="168" t="s">
        <v>62</v>
      </c>
      <c r="D422" s="168"/>
      <c r="E422" s="167"/>
      <c r="F422" s="165"/>
      <c r="G422" s="165"/>
      <c r="H422" s="164"/>
      <c r="I422" s="257"/>
    </row>
    <row r="423" spans="2:9" ht="12.75" customHeight="1" hidden="1" thickBot="1">
      <c r="B423" s="327"/>
      <c r="C423" s="168"/>
      <c r="D423" s="168"/>
      <c r="E423" s="167"/>
      <c r="F423" s="165"/>
      <c r="G423" s="165"/>
      <c r="H423" s="164"/>
      <c r="I423" s="257"/>
    </row>
    <row r="424" spans="2:9" ht="12.75" customHeight="1" hidden="1" thickBot="1">
      <c r="B424" s="327"/>
      <c r="C424" s="168"/>
      <c r="D424" s="168"/>
      <c r="E424" s="167"/>
      <c r="F424" s="164"/>
      <c r="G424" s="164"/>
      <c r="H424" s="164"/>
      <c r="I424" s="244"/>
    </row>
    <row r="425" spans="2:9" ht="0.75" customHeight="1" hidden="1" thickBot="1">
      <c r="B425" s="327"/>
      <c r="C425" s="168"/>
      <c r="D425" s="168"/>
      <c r="E425" s="167"/>
      <c r="F425" s="164"/>
      <c r="G425" s="164"/>
      <c r="H425" s="164"/>
      <c r="I425" s="244"/>
    </row>
    <row r="426" spans="2:9" ht="13.5" customHeight="1" hidden="1" thickBot="1">
      <c r="B426" s="327"/>
      <c r="C426" s="168"/>
      <c r="D426" s="168"/>
      <c r="E426" s="167"/>
      <c r="F426" s="164"/>
      <c r="G426" s="164"/>
      <c r="H426" s="164"/>
      <c r="I426" s="244"/>
    </row>
    <row r="427" spans="2:9" ht="38.25" customHeight="1" hidden="1" thickBot="1">
      <c r="B427" s="327"/>
      <c r="C427" s="168"/>
      <c r="D427" s="168"/>
      <c r="E427" s="167"/>
      <c r="F427" s="164"/>
      <c r="G427" s="164"/>
      <c r="H427" s="164"/>
      <c r="I427" s="244"/>
    </row>
    <row r="428" spans="2:9" ht="38.25" customHeight="1" hidden="1" thickBot="1">
      <c r="B428" s="327"/>
      <c r="C428" s="168"/>
      <c r="D428" s="168"/>
      <c r="E428" s="167"/>
      <c r="F428" s="164"/>
      <c r="G428" s="164"/>
      <c r="H428" s="164"/>
      <c r="I428" s="244"/>
    </row>
    <row r="429" spans="2:9" ht="38.25" customHeight="1" hidden="1" thickBot="1">
      <c r="B429" s="327"/>
      <c r="C429" s="168"/>
      <c r="D429" s="168"/>
      <c r="E429" s="167"/>
      <c r="F429" s="164"/>
      <c r="G429" s="164"/>
      <c r="H429" s="164"/>
      <c r="I429" s="244"/>
    </row>
    <row r="430" spans="2:9" ht="25.5" customHeight="1" hidden="1" thickBot="1">
      <c r="B430" s="327"/>
      <c r="C430" s="168"/>
      <c r="D430" s="168"/>
      <c r="E430" s="167"/>
      <c r="F430" s="164"/>
      <c r="G430" s="164"/>
      <c r="H430" s="164"/>
      <c r="I430" s="244"/>
    </row>
    <row r="431" spans="2:9" ht="27.75" customHeight="1">
      <c r="B431" s="327" t="s">
        <v>231</v>
      </c>
      <c r="C431" s="168" t="s">
        <v>62</v>
      </c>
      <c r="D431" s="159" t="s">
        <v>63</v>
      </c>
      <c r="E431" s="167">
        <f>F431+G431+H431</f>
        <v>245000</v>
      </c>
      <c r="F431" s="165">
        <f>F432</f>
        <v>45000</v>
      </c>
      <c r="G431" s="165">
        <f>G432</f>
        <v>100000</v>
      </c>
      <c r="H431" s="164">
        <f>H432</f>
        <v>100000</v>
      </c>
      <c r="I431" s="257"/>
    </row>
    <row r="432" spans="2:9" ht="28.5" customHeight="1">
      <c r="B432" s="327"/>
      <c r="C432" s="168" t="s">
        <v>88</v>
      </c>
      <c r="D432" s="158" t="s">
        <v>68</v>
      </c>
      <c r="E432" s="167">
        <f>F432+G432+H432</f>
        <v>245000</v>
      </c>
      <c r="F432" s="165">
        <v>45000</v>
      </c>
      <c r="G432" s="165">
        <v>100000</v>
      </c>
      <c r="H432" s="164">
        <v>100000</v>
      </c>
      <c r="I432" s="257"/>
    </row>
    <row r="433" spans="2:9" ht="16.5" customHeight="1">
      <c r="B433" s="327" t="s">
        <v>232</v>
      </c>
      <c r="C433" s="306" t="s">
        <v>62</v>
      </c>
      <c r="D433" s="159" t="s">
        <v>63</v>
      </c>
      <c r="E433" s="167">
        <f>F433+G433+H433</f>
        <v>11695200.66</v>
      </c>
      <c r="F433" s="167">
        <f>F435+F436+F437</f>
        <v>3549895.43</v>
      </c>
      <c r="G433" s="167">
        <f>G435+G436+G437</f>
        <v>4417905.23</v>
      </c>
      <c r="H433" s="167">
        <f>H435+H436+H437</f>
        <v>3727400</v>
      </c>
      <c r="I433" s="257"/>
    </row>
    <row r="434" spans="2:9" ht="12.75" customHeight="1">
      <c r="B434" s="327"/>
      <c r="C434" s="306"/>
      <c r="D434" s="158" t="s">
        <v>66</v>
      </c>
      <c r="E434" s="167"/>
      <c r="F434" s="165"/>
      <c r="G434" s="165"/>
      <c r="H434" s="164"/>
      <c r="I434" s="257"/>
    </row>
    <row r="435" spans="2:9" ht="15" customHeight="1">
      <c r="B435" s="327"/>
      <c r="C435" s="306"/>
      <c r="D435" s="158" t="s">
        <v>67</v>
      </c>
      <c r="E435" s="167">
        <f>F435+G435+H435</f>
        <v>4693966.4</v>
      </c>
      <c r="F435" s="165">
        <v>1481929</v>
      </c>
      <c r="G435" s="165">
        <v>1564637.4</v>
      </c>
      <c r="H435" s="165">
        <v>1647400</v>
      </c>
      <c r="I435" s="257"/>
    </row>
    <row r="436" spans="2:9" ht="12.75" customHeight="1">
      <c r="B436" s="327"/>
      <c r="C436" s="306"/>
      <c r="D436" s="158" t="s">
        <v>68</v>
      </c>
      <c r="E436" s="167">
        <f>F436+G436+H436</f>
        <v>225030</v>
      </c>
      <c r="F436" s="165">
        <v>35000</v>
      </c>
      <c r="G436" s="165">
        <v>110030</v>
      </c>
      <c r="H436" s="164">
        <v>80000</v>
      </c>
      <c r="I436" s="244"/>
    </row>
    <row r="437" spans="2:9" ht="15" customHeight="1">
      <c r="B437" s="327"/>
      <c r="C437" s="306"/>
      <c r="D437" s="158" t="s">
        <v>69</v>
      </c>
      <c r="E437" s="167">
        <f>F437+G437+H437</f>
        <v>6776204.26</v>
      </c>
      <c r="F437" s="165">
        <f>3032825.43-F450</f>
        <v>2032966.4300000002</v>
      </c>
      <c r="G437" s="165">
        <f>3718489.83-975252</f>
        <v>2743237.83</v>
      </c>
      <c r="H437" s="164">
        <v>2000000</v>
      </c>
      <c r="I437" s="244"/>
    </row>
    <row r="438" spans="2:9" ht="12.75">
      <c r="B438" s="327"/>
      <c r="C438" s="170"/>
      <c r="D438" s="170"/>
      <c r="E438" s="241"/>
      <c r="F438" s="164"/>
      <c r="G438" s="165"/>
      <c r="H438" s="164"/>
      <c r="I438" s="244"/>
    </row>
    <row r="439" spans="2:9" ht="12.75" customHeight="1">
      <c r="B439" s="327" t="s">
        <v>233</v>
      </c>
      <c r="C439" s="307" t="s">
        <v>62</v>
      </c>
      <c r="D439" s="159" t="s">
        <v>63</v>
      </c>
      <c r="E439" s="167">
        <f>F439+G439+H439</f>
        <v>3944906.25</v>
      </c>
      <c r="F439" s="167">
        <f>F441+F442</f>
        <v>936802.49</v>
      </c>
      <c r="G439" s="167">
        <f>G441+G442</f>
        <v>1451703.76</v>
      </c>
      <c r="H439" s="167">
        <f>H441+H442</f>
        <v>1556400</v>
      </c>
      <c r="I439" s="257"/>
    </row>
    <row r="440" spans="2:9" ht="12.75" customHeight="1">
      <c r="B440" s="327"/>
      <c r="C440" s="308"/>
      <c r="D440" s="158" t="s">
        <v>66</v>
      </c>
      <c r="E440" s="167"/>
      <c r="F440" s="165"/>
      <c r="G440" s="165"/>
      <c r="H440" s="164"/>
      <c r="I440" s="257"/>
    </row>
    <row r="441" spans="2:9" ht="12.75" customHeight="1">
      <c r="B441" s="327"/>
      <c r="C441" s="307" t="s">
        <v>261</v>
      </c>
      <c r="D441" s="158" t="s">
        <v>67</v>
      </c>
      <c r="E441" s="167">
        <f>F441+G441+H441</f>
        <v>0</v>
      </c>
      <c r="F441" s="164"/>
      <c r="G441" s="164"/>
      <c r="H441" s="164"/>
      <c r="I441" s="244"/>
    </row>
    <row r="442" spans="2:9" ht="12.75" customHeight="1">
      <c r="B442" s="327"/>
      <c r="C442" s="309"/>
      <c r="D442" s="158" t="s">
        <v>68</v>
      </c>
      <c r="E442" s="167">
        <f>F442+G442+H442</f>
        <v>3944906.25</v>
      </c>
      <c r="F442" s="164">
        <v>936802.49</v>
      </c>
      <c r="G442" s="164">
        <v>1451703.76</v>
      </c>
      <c r="H442" s="164">
        <v>1556400</v>
      </c>
      <c r="I442" s="244"/>
    </row>
    <row r="443" spans="2:9" ht="12.75">
      <c r="B443" s="327"/>
      <c r="C443" s="308"/>
      <c r="D443" s="158" t="s">
        <v>69</v>
      </c>
      <c r="E443" s="167">
        <f>F443+G443+H443</f>
        <v>0</v>
      </c>
      <c r="F443" s="164"/>
      <c r="G443" s="164"/>
      <c r="H443" s="164"/>
      <c r="I443" s="244"/>
    </row>
    <row r="444" spans="2:9" ht="24.75" customHeight="1">
      <c r="B444" s="327" t="s">
        <v>234</v>
      </c>
      <c r="C444" s="168" t="s">
        <v>62</v>
      </c>
      <c r="D444" s="159" t="s">
        <v>63</v>
      </c>
      <c r="E444" s="167">
        <f>F444+G444+H444</f>
        <v>4042660.56</v>
      </c>
      <c r="F444" s="167">
        <f>F447+F450</f>
        <v>1299859</v>
      </c>
      <c r="G444" s="167">
        <f>G446+G449+G448+G447+G450</f>
        <v>2142801.56</v>
      </c>
      <c r="H444" s="241">
        <f>H446+H449</f>
        <v>600000</v>
      </c>
      <c r="I444" s="257"/>
    </row>
    <row r="445" spans="2:9" ht="12.75" customHeight="1">
      <c r="B445" s="327"/>
      <c r="C445" s="168"/>
      <c r="D445" s="158" t="s">
        <v>66</v>
      </c>
      <c r="E445" s="167"/>
      <c r="F445" s="165"/>
      <c r="G445" s="165"/>
      <c r="H445" s="164"/>
      <c r="I445" s="257"/>
    </row>
    <row r="446" spans="2:9" ht="12.75" customHeight="1">
      <c r="B446" s="327"/>
      <c r="C446" s="307" t="s">
        <v>261</v>
      </c>
      <c r="D446" s="158" t="s">
        <v>67</v>
      </c>
      <c r="E446" s="167">
        <f aca="true" t="shared" si="3" ref="E446:E451">F446+G446+H446</f>
        <v>0</v>
      </c>
      <c r="F446" s="165"/>
      <c r="G446" s="164"/>
      <c r="H446" s="164"/>
      <c r="I446" s="244"/>
    </row>
    <row r="447" spans="2:9" ht="25.5" customHeight="1">
      <c r="B447" s="327"/>
      <c r="C447" s="309"/>
      <c r="D447" s="158" t="s">
        <v>68</v>
      </c>
      <c r="E447" s="167">
        <f t="shared" si="3"/>
        <v>300000</v>
      </c>
      <c r="F447" s="165">
        <v>300000</v>
      </c>
      <c r="G447" s="164"/>
      <c r="H447" s="164"/>
      <c r="I447" s="244" t="s">
        <v>271</v>
      </c>
    </row>
    <row r="448" spans="2:9" ht="39" customHeight="1">
      <c r="B448" s="327"/>
      <c r="C448" s="309"/>
      <c r="D448" s="158" t="s">
        <v>68</v>
      </c>
      <c r="E448" s="167">
        <f t="shared" si="3"/>
        <v>667549.56</v>
      </c>
      <c r="F448" s="165"/>
      <c r="G448" s="164">
        <v>667549.56</v>
      </c>
      <c r="H448" s="164"/>
      <c r="I448" s="244" t="s">
        <v>272</v>
      </c>
    </row>
    <row r="449" spans="2:9" ht="12.75" customHeight="1">
      <c r="B449" s="327"/>
      <c r="C449" s="309"/>
      <c r="D449" s="158" t="s">
        <v>68</v>
      </c>
      <c r="E449" s="167">
        <f t="shared" si="3"/>
        <v>1100000</v>
      </c>
      <c r="F449" s="165"/>
      <c r="G449" s="164">
        <v>500000</v>
      </c>
      <c r="H449" s="164">
        <v>600000</v>
      </c>
      <c r="I449" s="244" t="s">
        <v>270</v>
      </c>
    </row>
    <row r="450" spans="2:9" ht="12.75">
      <c r="B450" s="327"/>
      <c r="C450" s="308"/>
      <c r="D450" s="158" t="s">
        <v>69</v>
      </c>
      <c r="E450" s="167">
        <f t="shared" si="3"/>
        <v>1975111</v>
      </c>
      <c r="F450" s="165">
        <v>999859</v>
      </c>
      <c r="G450" s="164">
        <v>975252</v>
      </c>
      <c r="H450" s="164"/>
      <c r="I450" s="244"/>
    </row>
    <row r="451" spans="2:9" ht="27.75" customHeight="1" hidden="1">
      <c r="B451" s="327" t="s">
        <v>235</v>
      </c>
      <c r="C451" s="168" t="s">
        <v>62</v>
      </c>
      <c r="D451" s="159" t="s">
        <v>63</v>
      </c>
      <c r="E451" s="167">
        <f t="shared" si="3"/>
        <v>0</v>
      </c>
      <c r="F451" s="167">
        <f>F453+F454</f>
        <v>0</v>
      </c>
      <c r="G451" s="167">
        <f>G453+G454</f>
        <v>0</v>
      </c>
      <c r="H451" s="241">
        <f>H453+H454</f>
        <v>0</v>
      </c>
      <c r="I451" s="257"/>
    </row>
    <row r="452" spans="2:9" ht="12.75" customHeight="1" hidden="1">
      <c r="B452" s="327"/>
      <c r="C452" s="307" t="s">
        <v>88</v>
      </c>
      <c r="D452" s="158" t="s">
        <v>66</v>
      </c>
      <c r="E452" s="167"/>
      <c r="F452" s="165"/>
      <c r="G452" s="165"/>
      <c r="H452" s="164"/>
      <c r="I452" s="257"/>
    </row>
    <row r="453" spans="2:9" ht="12.75" customHeight="1" hidden="1">
      <c r="B453" s="327"/>
      <c r="C453" s="309"/>
      <c r="D453" s="158" t="s">
        <v>67</v>
      </c>
      <c r="E453" s="167">
        <f>F453+G453+H453</f>
        <v>0</v>
      </c>
      <c r="F453" s="165">
        <v>0</v>
      </c>
      <c r="G453" s="164"/>
      <c r="H453" s="164"/>
      <c r="I453" s="244"/>
    </row>
    <row r="454" spans="2:9" ht="12.75" hidden="1">
      <c r="B454" s="327"/>
      <c r="C454" s="308"/>
      <c r="D454" s="170"/>
      <c r="E454" s="241"/>
      <c r="F454" s="164"/>
      <c r="G454" s="164"/>
      <c r="H454" s="164"/>
      <c r="I454" s="244"/>
    </row>
    <row r="455" spans="2:9" ht="20.25" customHeight="1" hidden="1" thickBot="1">
      <c r="B455" s="327" t="s">
        <v>156</v>
      </c>
      <c r="C455" s="306" t="s">
        <v>62</v>
      </c>
      <c r="D455" s="159" t="s">
        <v>63</v>
      </c>
      <c r="E455" s="167">
        <f>F455+G455+H455</f>
        <v>0</v>
      </c>
      <c r="F455" s="167"/>
      <c r="G455" s="167"/>
      <c r="H455" s="241"/>
      <c r="I455" s="257"/>
    </row>
    <row r="456" spans="2:9" ht="19.5" customHeight="1" hidden="1" thickBot="1">
      <c r="B456" s="327"/>
      <c r="C456" s="306"/>
      <c r="D456" s="158" t="s">
        <v>66</v>
      </c>
      <c r="E456" s="167"/>
      <c r="F456" s="164"/>
      <c r="G456" s="164"/>
      <c r="H456" s="164"/>
      <c r="I456" s="257"/>
    </row>
    <row r="457" spans="2:9" ht="12.75" hidden="1">
      <c r="B457" s="327"/>
      <c r="C457" s="306"/>
      <c r="D457" s="158" t="s">
        <v>67</v>
      </c>
      <c r="E457" s="167">
        <f>F457+G457+H457</f>
        <v>0</v>
      </c>
      <c r="F457" s="164"/>
      <c r="G457" s="164"/>
      <c r="H457" s="164"/>
      <c r="I457" s="257"/>
    </row>
    <row r="458" spans="2:9" ht="12.75" hidden="1">
      <c r="B458" s="327"/>
      <c r="C458" s="306"/>
      <c r="D458" s="158" t="s">
        <v>68</v>
      </c>
      <c r="E458" s="167">
        <f>F458+G458+H458</f>
        <v>0</v>
      </c>
      <c r="F458" s="165"/>
      <c r="G458" s="165"/>
      <c r="H458" s="164"/>
      <c r="I458" s="257"/>
    </row>
    <row r="459" spans="2:9" ht="13.5" customHeight="1" hidden="1" thickBot="1">
      <c r="B459" s="327"/>
      <c r="C459" s="306"/>
      <c r="D459" s="158" t="s">
        <v>69</v>
      </c>
      <c r="E459" s="167">
        <f>F459+G459+H459</f>
        <v>0</v>
      </c>
      <c r="F459" s="165"/>
      <c r="G459" s="165"/>
      <c r="H459" s="164"/>
      <c r="I459" s="257"/>
    </row>
    <row r="460" spans="2:9" ht="18.75" customHeight="1" hidden="1" thickBot="1">
      <c r="B460" s="327" t="s">
        <v>157</v>
      </c>
      <c r="C460" s="168"/>
      <c r="D460" s="159" t="s">
        <v>63</v>
      </c>
      <c r="E460" s="167">
        <f>F460+G460+H460</f>
        <v>0</v>
      </c>
      <c r="F460" s="167"/>
      <c r="G460" s="167"/>
      <c r="H460" s="241"/>
      <c r="I460" s="257"/>
    </row>
    <row r="461" spans="2:9" ht="27.75" customHeight="1" hidden="1" thickBot="1">
      <c r="B461" s="327"/>
      <c r="C461" s="168" t="s">
        <v>62</v>
      </c>
      <c r="D461" s="158" t="s">
        <v>66</v>
      </c>
      <c r="E461" s="167"/>
      <c r="F461" s="164"/>
      <c r="G461" s="164"/>
      <c r="H461" s="164"/>
      <c r="I461" s="257"/>
    </row>
    <row r="462" spans="2:9" ht="12.75" hidden="1">
      <c r="B462" s="327"/>
      <c r="C462" s="170"/>
      <c r="D462" s="158" t="s">
        <v>67</v>
      </c>
      <c r="E462" s="167">
        <f>F462+G462+H462</f>
        <v>0</v>
      </c>
      <c r="F462" s="164"/>
      <c r="G462" s="164"/>
      <c r="H462" s="164"/>
      <c r="I462" s="257"/>
    </row>
    <row r="463" spans="2:9" ht="15" customHeight="1" hidden="1" thickBot="1">
      <c r="B463" s="327"/>
      <c r="C463" s="170"/>
      <c r="D463" s="158" t="s">
        <v>68</v>
      </c>
      <c r="E463" s="167">
        <f>F463+G463+H463</f>
        <v>0</v>
      </c>
      <c r="F463" s="165"/>
      <c r="G463" s="165"/>
      <c r="H463" s="164"/>
      <c r="I463" s="257"/>
    </row>
    <row r="464" spans="2:9" ht="12.75" customHeight="1" hidden="1" thickBot="1">
      <c r="B464" s="327"/>
      <c r="C464" s="170"/>
      <c r="D464" s="158" t="s">
        <v>69</v>
      </c>
      <c r="E464" s="167">
        <f>F464+G464+H464</f>
        <v>0</v>
      </c>
      <c r="F464" s="165"/>
      <c r="G464" s="165"/>
      <c r="H464" s="164"/>
      <c r="I464" s="257"/>
    </row>
    <row r="465" spans="2:9" ht="12.75" hidden="1">
      <c r="B465" s="183"/>
      <c r="C465" s="168"/>
      <c r="D465" s="159" t="s">
        <v>63</v>
      </c>
      <c r="E465" s="167">
        <f>F465+G465+H465</f>
        <v>0</v>
      </c>
      <c r="F465" s="167"/>
      <c r="G465" s="167"/>
      <c r="H465" s="241"/>
      <c r="I465" s="257"/>
    </row>
    <row r="466" spans="2:9" ht="38.25" customHeight="1" hidden="1" thickBot="1">
      <c r="B466" s="183" t="s">
        <v>158</v>
      </c>
      <c r="C466" s="168" t="s">
        <v>62</v>
      </c>
      <c r="D466" s="158" t="s">
        <v>66</v>
      </c>
      <c r="E466" s="167"/>
      <c r="F466" s="164"/>
      <c r="G466" s="164"/>
      <c r="H466" s="164"/>
      <c r="I466" s="257"/>
    </row>
    <row r="467" spans="2:9" ht="12.75" hidden="1">
      <c r="B467" s="185"/>
      <c r="C467" s="170"/>
      <c r="D467" s="158" t="s">
        <v>67</v>
      </c>
      <c r="E467" s="167">
        <f>F467+G467+H467</f>
        <v>0</v>
      </c>
      <c r="F467" s="164"/>
      <c r="G467" s="164"/>
      <c r="H467" s="164"/>
      <c r="I467" s="257"/>
    </row>
    <row r="468" spans="2:9" ht="12.75" hidden="1">
      <c r="B468" s="185"/>
      <c r="C468" s="170"/>
      <c r="D468" s="158" t="s">
        <v>68</v>
      </c>
      <c r="E468" s="167">
        <f>F468+G468+H468</f>
        <v>0</v>
      </c>
      <c r="F468" s="165"/>
      <c r="G468" s="165"/>
      <c r="H468" s="164"/>
      <c r="I468" s="257"/>
    </row>
    <row r="469" spans="2:9" ht="13.5" customHeight="1" hidden="1" thickBot="1">
      <c r="B469" s="185"/>
      <c r="C469" s="170"/>
      <c r="D469" s="158" t="s">
        <v>69</v>
      </c>
      <c r="E469" s="167">
        <f>F469+G469+H469</f>
        <v>0</v>
      </c>
      <c r="F469" s="165"/>
      <c r="G469" s="165"/>
      <c r="H469" s="164"/>
      <c r="I469" s="257"/>
    </row>
    <row r="470" spans="2:9" ht="12.75">
      <c r="B470" s="183"/>
      <c r="C470" s="168"/>
      <c r="D470" s="159" t="s">
        <v>63</v>
      </c>
      <c r="E470" s="167">
        <f>F470+G470+H470</f>
        <v>267506</v>
      </c>
      <c r="F470" s="167">
        <f>F472+F473</f>
        <v>267506</v>
      </c>
      <c r="G470" s="167"/>
      <c r="H470" s="241"/>
      <c r="I470" s="257"/>
    </row>
    <row r="471" spans="2:9" ht="25.5" customHeight="1">
      <c r="B471" s="327" t="s">
        <v>257</v>
      </c>
      <c r="C471" s="307" t="s">
        <v>62</v>
      </c>
      <c r="D471" s="158" t="s">
        <v>66</v>
      </c>
      <c r="E471" s="167"/>
      <c r="F471" s="164"/>
      <c r="G471" s="164"/>
      <c r="H471" s="164"/>
      <c r="I471" s="257"/>
    </row>
    <row r="472" spans="2:9" ht="12.75">
      <c r="B472" s="327"/>
      <c r="C472" s="309"/>
      <c r="D472" s="158" t="s">
        <v>67</v>
      </c>
      <c r="E472" s="167">
        <f>F472+G472+H472</f>
        <v>267506</v>
      </c>
      <c r="F472" s="164">
        <v>267506</v>
      </c>
      <c r="G472" s="164"/>
      <c r="H472" s="164"/>
      <c r="I472" s="257"/>
    </row>
    <row r="473" spans="2:9" ht="12.75" customHeight="1">
      <c r="B473" s="327"/>
      <c r="C473" s="309"/>
      <c r="D473" s="158" t="s">
        <v>68</v>
      </c>
      <c r="E473" s="167">
        <f>F473+G473+H473</f>
        <v>0</v>
      </c>
      <c r="F473" s="164"/>
      <c r="G473" s="164"/>
      <c r="H473" s="164"/>
      <c r="I473" s="257"/>
    </row>
    <row r="474" spans="2:9" ht="12.75">
      <c r="B474" s="327"/>
      <c r="C474" s="308"/>
      <c r="D474" s="158" t="s">
        <v>69</v>
      </c>
      <c r="E474" s="167">
        <f>F474+G474+H474</f>
        <v>0</v>
      </c>
      <c r="F474" s="164"/>
      <c r="G474" s="164"/>
      <c r="H474" s="164"/>
      <c r="I474" s="257"/>
    </row>
    <row r="475" spans="2:9" ht="13.5" customHeight="1" hidden="1" thickBot="1">
      <c r="B475" s="185"/>
      <c r="C475" s="170"/>
      <c r="D475" s="170"/>
      <c r="E475" s="241"/>
      <c r="F475" s="165"/>
      <c r="G475" s="165"/>
      <c r="H475" s="164"/>
      <c r="I475" s="257"/>
    </row>
    <row r="476" spans="2:9" ht="12.75" customHeight="1">
      <c r="B476" s="327" t="s">
        <v>236</v>
      </c>
      <c r="C476" s="307" t="s">
        <v>62</v>
      </c>
      <c r="D476" s="159" t="s">
        <v>63</v>
      </c>
      <c r="E476" s="167">
        <f>F476+G476+H476</f>
        <v>75333.33</v>
      </c>
      <c r="F476" s="167">
        <f>F477</f>
        <v>18333.33</v>
      </c>
      <c r="G476" s="167">
        <f>G477</f>
        <v>35000</v>
      </c>
      <c r="H476" s="167">
        <f>H477</f>
        <v>22000</v>
      </c>
      <c r="I476" s="257"/>
    </row>
    <row r="477" spans="2:9" ht="28.5" customHeight="1">
      <c r="B477" s="327"/>
      <c r="C477" s="308"/>
      <c r="D477" s="158" t="s">
        <v>68</v>
      </c>
      <c r="E477" s="167">
        <f>F477+G477+H477</f>
        <v>75333.33</v>
      </c>
      <c r="F477" s="165">
        <v>18333.33</v>
      </c>
      <c r="G477" s="165">
        <v>35000</v>
      </c>
      <c r="H477" s="165">
        <v>22000</v>
      </c>
      <c r="I477" s="257"/>
    </row>
    <row r="478" spans="2:9" ht="16.5" customHeight="1" hidden="1" thickBot="1">
      <c r="B478" s="183"/>
      <c r="C478" s="168"/>
      <c r="D478" s="159" t="s">
        <v>63</v>
      </c>
      <c r="E478" s="167">
        <f>F478+G478+H478</f>
        <v>0</v>
      </c>
      <c r="F478" s="241">
        <f>F480+F481+F482</f>
        <v>0</v>
      </c>
      <c r="G478" s="241"/>
      <c r="H478" s="241"/>
      <c r="I478" s="251" t="s">
        <v>183</v>
      </c>
    </row>
    <row r="479" spans="2:9" ht="15" customHeight="1" hidden="1" thickBot="1">
      <c r="B479" s="183" t="s">
        <v>159</v>
      </c>
      <c r="C479" s="306" t="s">
        <v>62</v>
      </c>
      <c r="D479" s="158" t="s">
        <v>66</v>
      </c>
      <c r="E479" s="167"/>
      <c r="F479" s="164"/>
      <c r="G479" s="164"/>
      <c r="H479" s="164"/>
      <c r="I479" s="251" t="s">
        <v>184</v>
      </c>
    </row>
    <row r="480" spans="2:9" ht="25.5" customHeight="1" hidden="1" thickBot="1">
      <c r="B480" s="183" t="s">
        <v>160</v>
      </c>
      <c r="C480" s="306"/>
      <c r="D480" s="158" t="s">
        <v>67</v>
      </c>
      <c r="E480" s="167">
        <f>F480+G480+H480</f>
        <v>0</v>
      </c>
      <c r="F480" s="164"/>
      <c r="G480" s="164"/>
      <c r="H480" s="164"/>
      <c r="I480" s="251" t="s">
        <v>185</v>
      </c>
    </row>
    <row r="481" spans="2:9" ht="37.5" customHeight="1" hidden="1" thickBot="1">
      <c r="B481" s="183" t="s">
        <v>161</v>
      </c>
      <c r="C481" s="170"/>
      <c r="D481" s="158" t="s">
        <v>68</v>
      </c>
      <c r="E481" s="167">
        <f>F481+G481+H481</f>
        <v>0</v>
      </c>
      <c r="F481" s="164"/>
      <c r="G481" s="164"/>
      <c r="H481" s="164"/>
      <c r="I481" s="251" t="s">
        <v>186</v>
      </c>
    </row>
    <row r="482" spans="2:9" ht="21" customHeight="1" hidden="1" thickBot="1">
      <c r="B482" s="185"/>
      <c r="C482" s="170"/>
      <c r="D482" s="158" t="s">
        <v>69</v>
      </c>
      <c r="E482" s="241"/>
      <c r="F482" s="164"/>
      <c r="G482" s="164"/>
      <c r="H482" s="164"/>
      <c r="I482" s="251" t="s">
        <v>187</v>
      </c>
    </row>
    <row r="483" spans="2:9" ht="25.5" customHeight="1" hidden="1" thickBot="1">
      <c r="B483" s="185"/>
      <c r="C483" s="170"/>
      <c r="D483" s="170"/>
      <c r="E483" s="241"/>
      <c r="F483" s="165"/>
      <c r="G483" s="165" t="s">
        <v>85</v>
      </c>
      <c r="H483" s="164" t="s">
        <v>155</v>
      </c>
      <c r="I483" s="252" t="s">
        <v>188</v>
      </c>
    </row>
    <row r="484" spans="2:9" ht="13.5" customHeight="1" hidden="1" thickBot="1">
      <c r="B484" s="185"/>
      <c r="C484" s="170"/>
      <c r="D484" s="170"/>
      <c r="E484" s="241"/>
      <c r="F484" s="165"/>
      <c r="G484" s="165"/>
      <c r="H484" s="164"/>
      <c r="I484" s="257"/>
    </row>
    <row r="485" spans="2:9" ht="13.5" thickBot="1">
      <c r="B485" s="268"/>
      <c r="C485" s="233"/>
      <c r="D485" s="263" t="s">
        <v>63</v>
      </c>
      <c r="E485" s="189">
        <f>F485+G485+H485</f>
        <v>20270606.8</v>
      </c>
      <c r="F485" s="189">
        <f>F487+F488+F489</f>
        <v>6117396.25</v>
      </c>
      <c r="G485" s="189">
        <f>G487+G488+G489</f>
        <v>8147410.55</v>
      </c>
      <c r="H485" s="189">
        <f>H487+H488+H489</f>
        <v>6005800</v>
      </c>
      <c r="I485" s="264"/>
    </row>
    <row r="486" spans="2:9" ht="12.75">
      <c r="B486" s="372" t="s">
        <v>237</v>
      </c>
      <c r="C486" s="179"/>
      <c r="D486" s="188" t="s">
        <v>66</v>
      </c>
      <c r="E486" s="193"/>
      <c r="F486" s="182"/>
      <c r="G486" s="181"/>
      <c r="H486" s="181"/>
      <c r="I486" s="265"/>
    </row>
    <row r="487" spans="2:9" ht="12.75" customHeight="1">
      <c r="B487" s="329"/>
      <c r="C487" s="168"/>
      <c r="D487" s="158" t="s">
        <v>67</v>
      </c>
      <c r="E487" s="167">
        <f>F487+G487+H487</f>
        <v>4961472.4</v>
      </c>
      <c r="F487" s="165">
        <f>F472+F453+F446+F441+F435</f>
        <v>1749435</v>
      </c>
      <c r="G487" s="165">
        <f>G472+G453+G446+G441+G435</f>
        <v>1564637.4</v>
      </c>
      <c r="H487" s="165">
        <f>H472+H453+H446+H441+H435</f>
        <v>1647400</v>
      </c>
      <c r="I487" s="257"/>
    </row>
    <row r="488" spans="2:9" ht="12.75">
      <c r="B488" s="329"/>
      <c r="C488" s="168"/>
      <c r="D488" s="158" t="s">
        <v>68</v>
      </c>
      <c r="E488" s="167">
        <f>F488+G488+H488</f>
        <v>6557819.14</v>
      </c>
      <c r="F488" s="165">
        <f>F432+F436+F442+F449+F477+F448+F447</f>
        <v>1335135.8199999998</v>
      </c>
      <c r="G488" s="165">
        <f>G432+G436+G442+G449+G477+G448+G447</f>
        <v>2864283.32</v>
      </c>
      <c r="H488" s="165">
        <f>H432+H436+H442+H449+H477+H448+H447</f>
        <v>2358400</v>
      </c>
      <c r="I488" s="257"/>
    </row>
    <row r="489" spans="2:9" ht="13.5" thickBot="1">
      <c r="B489" s="373"/>
      <c r="C489" s="266"/>
      <c r="D489" s="166" t="s">
        <v>69</v>
      </c>
      <c r="E489" s="195">
        <f>F489+G489+H489</f>
        <v>8751315.26</v>
      </c>
      <c r="F489" s="186">
        <f>F437+F450</f>
        <v>3032825.43</v>
      </c>
      <c r="G489" s="186">
        <f>G437+G450</f>
        <v>3718489.83</v>
      </c>
      <c r="H489" s="186">
        <f>H437</f>
        <v>2000000</v>
      </c>
      <c r="I489" s="261"/>
    </row>
    <row r="490" spans="2:9" ht="13.5">
      <c r="B490" s="369" t="s">
        <v>162</v>
      </c>
      <c r="C490" s="179"/>
      <c r="D490" s="180" t="s">
        <v>190</v>
      </c>
      <c r="E490" s="272">
        <f>F490+G490+H490</f>
        <v>993376271.73</v>
      </c>
      <c r="F490" s="272">
        <f>F492+F493+F494</f>
        <v>312760566.33</v>
      </c>
      <c r="G490" s="272">
        <f>G492+G493+G494</f>
        <v>343137374.40000004</v>
      </c>
      <c r="H490" s="272">
        <f>H492+H493+H494</f>
        <v>337478331</v>
      </c>
      <c r="I490" s="259"/>
    </row>
    <row r="491" spans="2:9" ht="12.75" customHeight="1">
      <c r="B491" s="370"/>
      <c r="C491" s="168"/>
      <c r="D491" s="158" t="s">
        <v>66</v>
      </c>
      <c r="E491" s="167"/>
      <c r="F491" s="241"/>
      <c r="G491" s="241"/>
      <c r="H491" s="241"/>
      <c r="I491" s="256"/>
    </row>
    <row r="492" spans="2:9" ht="12.75">
      <c r="B492" s="370"/>
      <c r="C492" s="168"/>
      <c r="D492" s="158" t="s">
        <v>67</v>
      </c>
      <c r="E492" s="167">
        <f>F492+G492+H492</f>
        <v>616409206.94</v>
      </c>
      <c r="F492" s="167">
        <f>F487+F363+F320+F246+F225+F144+F76</f>
        <v>214155769.54</v>
      </c>
      <c r="G492" s="167">
        <f>G487+G363+G320+G246+G225+G144+G76</f>
        <v>208258537.4</v>
      </c>
      <c r="H492" s="167">
        <f>H487+H363+H320+H246+H225+H144+H76</f>
        <v>193994900</v>
      </c>
      <c r="I492" s="256"/>
    </row>
    <row r="493" spans="2:9" ht="12.75">
      <c r="B493" s="370"/>
      <c r="C493" s="168"/>
      <c r="D493" s="158" t="s">
        <v>68</v>
      </c>
      <c r="E493" s="167">
        <f>F493+G493+H493</f>
        <v>376967064.79</v>
      </c>
      <c r="F493" s="167">
        <f>F488+F364+F321+F247+F226+F140+F77</f>
        <v>98604796.78999999</v>
      </c>
      <c r="G493" s="167">
        <f>G488+G364+G321+G247+G226+G140+G77</f>
        <v>134878837.00000003</v>
      </c>
      <c r="H493" s="167">
        <f>H488+H364+H321+H247+H226+H140+H77</f>
        <v>143483431</v>
      </c>
      <c r="I493" s="256"/>
    </row>
    <row r="494" spans="2:9" ht="13.5" customHeight="1" thickBot="1">
      <c r="B494" s="371"/>
      <c r="C494" s="266"/>
      <c r="D494" s="166" t="s">
        <v>189</v>
      </c>
      <c r="E494" s="195">
        <f>F494+G494+H494</f>
        <v>0</v>
      </c>
      <c r="F494" s="195">
        <f>F146</f>
        <v>0</v>
      </c>
      <c r="G494" s="195">
        <f>G146</f>
        <v>0</v>
      </c>
      <c r="H494" s="195">
        <f>H146</f>
        <v>0</v>
      </c>
      <c r="I494" s="273"/>
    </row>
    <row r="495" spans="2:9" ht="28.5" customHeight="1">
      <c r="B495" s="269" t="s">
        <v>192</v>
      </c>
      <c r="C495" s="234"/>
      <c r="D495" s="234" t="s">
        <v>193</v>
      </c>
      <c r="E495" s="270">
        <f>F495+G495+H495</f>
        <v>1050598971.9300001</v>
      </c>
      <c r="F495" s="270">
        <f>F490+F496</f>
        <v>331890788.14</v>
      </c>
      <c r="G495" s="270">
        <f>G490+G496</f>
        <v>363204852.79</v>
      </c>
      <c r="H495" s="270">
        <f>H490+H496</f>
        <v>355503331</v>
      </c>
      <c r="I495" s="271"/>
    </row>
    <row r="496" spans="2:9" ht="20.25" customHeight="1" thickBot="1">
      <c r="B496" s="228"/>
      <c r="C496" s="229"/>
      <c r="D496" s="166" t="s">
        <v>69</v>
      </c>
      <c r="E496" s="195">
        <f>F496+G496+H496</f>
        <v>57222700.2</v>
      </c>
      <c r="F496" s="230">
        <f>F489+F365+F322+F227+F150+F78</f>
        <v>19130221.810000002</v>
      </c>
      <c r="G496" s="230">
        <f>G489+G365+G322+G227+G150+G78</f>
        <v>20067478.39</v>
      </c>
      <c r="H496" s="230">
        <f>H489+H365+H322+H227+H150+H78</f>
        <v>18025000</v>
      </c>
      <c r="I496" s="267"/>
    </row>
    <row r="500" ht="12.75">
      <c r="F500" s="231"/>
    </row>
    <row r="501" ht="12.75">
      <c r="F501" s="231"/>
    </row>
    <row r="502" ht="12.75">
      <c r="F502" s="231"/>
    </row>
    <row r="503" ht="12.75">
      <c r="F503" s="231"/>
    </row>
    <row r="504" ht="12.75">
      <c r="F504" s="231"/>
    </row>
    <row r="505" ht="12.75">
      <c r="F505" s="231"/>
    </row>
    <row r="506" ht="12.75">
      <c r="F506" s="231"/>
    </row>
    <row r="507" ht="12.75">
      <c r="F507" s="231"/>
    </row>
    <row r="508" ht="12.75">
      <c r="F508" s="231"/>
    </row>
    <row r="509" ht="12.75">
      <c r="F509" s="231"/>
    </row>
    <row r="510" ht="12.75">
      <c r="F510" s="231"/>
    </row>
    <row r="511" ht="12.75">
      <c r="F511" s="231"/>
    </row>
    <row r="512" ht="12.75">
      <c r="F512" s="231"/>
    </row>
    <row r="513" ht="12.75">
      <c r="F513" s="231"/>
    </row>
    <row r="514" ht="12.75">
      <c r="F514" s="231"/>
    </row>
    <row r="515" ht="12.75">
      <c r="F515" s="232"/>
    </row>
    <row r="516" ht="12.75">
      <c r="F516" s="231"/>
    </row>
    <row r="517" ht="12.75">
      <c r="F517" s="231"/>
    </row>
    <row r="518" ht="12.75">
      <c r="F518" s="231"/>
    </row>
    <row r="519" ht="12.75">
      <c r="F519" s="231"/>
    </row>
    <row r="520" ht="12.75">
      <c r="F520" s="231"/>
    </row>
    <row r="521" ht="12.75">
      <c r="F521" s="231"/>
    </row>
  </sheetData>
  <sheetProtection/>
  <mergeCells count="153">
    <mergeCell ref="C71:C73"/>
    <mergeCell ref="A4:I4"/>
    <mergeCell ref="F7:H7"/>
    <mergeCell ref="I36:I40"/>
    <mergeCell ref="I26:I30"/>
    <mergeCell ref="I32:I35"/>
    <mergeCell ref="B10:I10"/>
    <mergeCell ref="B422:B430"/>
    <mergeCell ref="C66:C67"/>
    <mergeCell ref="C61:C65"/>
    <mergeCell ref="B66:B67"/>
    <mergeCell ref="I83:I87"/>
    <mergeCell ref="C127:C129"/>
    <mergeCell ref="B123:B126"/>
    <mergeCell ref="C123:C126"/>
    <mergeCell ref="C262:C264"/>
    <mergeCell ref="B249:B250"/>
    <mergeCell ref="I133:I137"/>
    <mergeCell ref="B51:B52"/>
    <mergeCell ref="C68:C70"/>
    <mergeCell ref="H81:I81"/>
    <mergeCell ref="C100:C102"/>
    <mergeCell ref="B83:B85"/>
    <mergeCell ref="B109:B112"/>
    <mergeCell ref="I104:I105"/>
    <mergeCell ref="B90:B91"/>
    <mergeCell ref="C83:C84"/>
    <mergeCell ref="B455:B459"/>
    <mergeCell ref="B204:B205"/>
    <mergeCell ref="B318:B322"/>
    <mergeCell ref="B254:B257"/>
    <mergeCell ref="B406:B410"/>
    <mergeCell ref="B258:B261"/>
    <mergeCell ref="B361:B365"/>
    <mergeCell ref="B323:I323"/>
    <mergeCell ref="C254:C257"/>
    <mergeCell ref="B251:B253"/>
    <mergeCell ref="C258:C261"/>
    <mergeCell ref="B6:I6"/>
    <mergeCell ref="I88:I89"/>
    <mergeCell ref="I127:I129"/>
    <mergeCell ref="B88:B89"/>
    <mergeCell ref="C204:C208"/>
    <mergeCell ref="B21:B22"/>
    <mergeCell ref="F191:F192"/>
    <mergeCell ref="C159:C169"/>
    <mergeCell ref="B195:B199"/>
    <mergeCell ref="B490:B494"/>
    <mergeCell ref="B476:B477"/>
    <mergeCell ref="B444:B450"/>
    <mergeCell ref="B451:B454"/>
    <mergeCell ref="B433:B438"/>
    <mergeCell ref="B431:B432"/>
    <mergeCell ref="B486:B489"/>
    <mergeCell ref="B471:B474"/>
    <mergeCell ref="B439:B443"/>
    <mergeCell ref="B460:B464"/>
    <mergeCell ref="F325:F326"/>
    <mergeCell ref="G325:G326"/>
    <mergeCell ref="B354:B357"/>
    <mergeCell ref="B313:B317"/>
    <mergeCell ref="B266:B269"/>
    <mergeCell ref="B384:B385"/>
    <mergeCell ref="B330:B332"/>
    <mergeCell ref="C298:C299"/>
    <mergeCell ref="B270:B273"/>
    <mergeCell ref="B74:B77"/>
    <mergeCell ref="C185:C189"/>
    <mergeCell ref="C154:C158"/>
    <mergeCell ref="C180:C184"/>
    <mergeCell ref="B139:B150"/>
    <mergeCell ref="C175:C179"/>
    <mergeCell ref="B170:B174"/>
    <mergeCell ref="B154:B157"/>
    <mergeCell ref="B79:I79"/>
    <mergeCell ref="C170:C174"/>
    <mergeCell ref="B15:B17"/>
    <mergeCell ref="H80:I80"/>
    <mergeCell ref="C51:C52"/>
    <mergeCell ref="B62:B63"/>
    <mergeCell ref="H82:I82"/>
    <mergeCell ref="C74:C77"/>
    <mergeCell ref="B59:B60"/>
    <mergeCell ref="I41:I45"/>
    <mergeCell ref="I46:I50"/>
    <mergeCell ref="I52:I59"/>
    <mergeCell ref="I204:I208"/>
    <mergeCell ref="B46:B49"/>
    <mergeCell ref="C46:C47"/>
    <mergeCell ref="B7:B8"/>
    <mergeCell ref="B71:B73"/>
    <mergeCell ref="B68:B70"/>
    <mergeCell ref="B12:I12"/>
    <mergeCell ref="B13:I13"/>
    <mergeCell ref="B14:I14"/>
    <mergeCell ref="H27:H28"/>
    <mergeCell ref="B11:I11"/>
    <mergeCell ref="I21:I25"/>
    <mergeCell ref="C479:C480"/>
    <mergeCell ref="H140:H142"/>
    <mergeCell ref="E141:E142"/>
    <mergeCell ref="B366:I367"/>
    <mergeCell ref="I245:I246"/>
    <mergeCell ref="B248:I248"/>
    <mergeCell ref="I195:I197"/>
    <mergeCell ref="D143:D144"/>
    <mergeCell ref="I211:I212"/>
    <mergeCell ref="B228:I228"/>
    <mergeCell ref="B223:B227"/>
    <mergeCell ref="C223:C227"/>
    <mergeCell ref="F186:F187"/>
    <mergeCell ref="C190:C194"/>
    <mergeCell ref="B219:B222"/>
    <mergeCell ref="C200:C203"/>
    <mergeCell ref="G186:G187"/>
    <mergeCell ref="C209:C218"/>
    <mergeCell ref="H240:H241"/>
    <mergeCell ref="B244:B247"/>
    <mergeCell ref="G240:G241"/>
    <mergeCell ref="F240:F241"/>
    <mergeCell ref="G138:G139"/>
    <mergeCell ref="G191:G192"/>
    <mergeCell ref="F138:F139"/>
    <mergeCell ref="E138:E139"/>
    <mergeCell ref="B200:B203"/>
    <mergeCell ref="D88:D89"/>
    <mergeCell ref="C88:C89"/>
    <mergeCell ref="B133:B137"/>
    <mergeCell ref="B113:B114"/>
    <mergeCell ref="B117:B118"/>
    <mergeCell ref="B100:B103"/>
    <mergeCell ref="B130:B132"/>
    <mergeCell ref="C133:C137"/>
    <mergeCell ref="C113:C114"/>
    <mergeCell ref="B127:B129"/>
    <mergeCell ref="I117:I118"/>
    <mergeCell ref="D138:D139"/>
    <mergeCell ref="H138:H139"/>
    <mergeCell ref="B151:I151"/>
    <mergeCell ref="F140:F142"/>
    <mergeCell ref="C195:C198"/>
    <mergeCell ref="G140:G142"/>
    <mergeCell ref="C138:C150"/>
    <mergeCell ref="I130:I132"/>
    <mergeCell ref="C117:C118"/>
    <mergeCell ref="C433:C437"/>
    <mergeCell ref="C476:C477"/>
    <mergeCell ref="C471:C474"/>
    <mergeCell ref="C452:C454"/>
    <mergeCell ref="C439:C440"/>
    <mergeCell ref="C441:C443"/>
    <mergeCell ref="C446:C450"/>
    <mergeCell ref="C455:C459"/>
  </mergeCells>
  <printOptions/>
  <pageMargins left="0.7874015748031497" right="0.1968503937007874" top="0.1968503937007874" bottom="0.3937007874015748" header="0.5118110236220472" footer="0.5905511811023623"/>
  <pageSetup fitToHeight="6" fitToWidth="1" horizontalDpi="600" verticalDpi="600" orientation="landscape" paperSize="9" scale="74" r:id="rId1"/>
  <rowBreaks count="3" manualBreakCount="3">
    <brk id="40" max="8" man="1"/>
    <brk id="88" max="8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фонд оплаты труда</dc:title>
  <dc:subject/>
  <dc:creator>Евгений</dc:creator>
  <cp:keywords/>
  <dc:description/>
  <cp:lastModifiedBy>user</cp:lastModifiedBy>
  <cp:lastPrinted>2020-01-23T07:16:09Z</cp:lastPrinted>
  <dcterms:created xsi:type="dcterms:W3CDTF">2003-04-01T11:25:20Z</dcterms:created>
  <dcterms:modified xsi:type="dcterms:W3CDTF">2020-04-27T06:01:38Z</dcterms:modified>
  <cp:category>расчётная таблица</cp:category>
  <cp:version/>
  <cp:contentType/>
  <cp:contentStatus/>
</cp:coreProperties>
</file>